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056" windowWidth="15480" windowHeight="9525" tabRatio="635" activeTab="0"/>
  </bookViews>
  <sheets>
    <sheet name="dupa IAN" sheetId="1" r:id="rId1"/>
    <sheet name="2019 initial" sheetId="2" r:id="rId2"/>
    <sheet name="FEB2019" sheetId="3" r:id="rId3"/>
    <sheet name="IAN2019" sheetId="4" r:id="rId4"/>
    <sheet name="suplDEC1" sheetId="5" r:id="rId5"/>
    <sheet name="2018 initial" sheetId="6" r:id="rId6"/>
    <sheet name="IAN2018" sheetId="7" r:id="rId7"/>
  </sheets>
  <definedNames/>
  <calcPr fullCalcOnLoad="1"/>
</workbook>
</file>

<file path=xl/sharedStrings.xml><?xml version="1.0" encoding="utf-8"?>
<sst xmlns="http://schemas.openxmlformats.org/spreadsheetml/2006/main" count="720" uniqueCount="168">
  <si>
    <t>SLA</t>
  </si>
  <si>
    <t>CASA DE ASIGURARI DE SANATATE BRAILA</t>
  </si>
  <si>
    <t>PROGRAM</t>
  </si>
  <si>
    <t>TIP alocare</t>
  </si>
  <si>
    <t>SPITAL</t>
  </si>
  <si>
    <t>FARMACII</t>
  </si>
  <si>
    <t>DIABET ZAHARAT</t>
  </si>
  <si>
    <t>ONCOLOGIE</t>
  </si>
  <si>
    <t>TOTAL DIABET</t>
  </si>
  <si>
    <t>MEDICAMENTE</t>
  </si>
  <si>
    <t>TOTAL DIABET - general</t>
  </si>
  <si>
    <t>MATERIALE SANITARE</t>
  </si>
  <si>
    <t>HEMOFILIE</t>
  </si>
  <si>
    <t>TALASEMIE</t>
  </si>
  <si>
    <t>TOTAL HEMO-TALA</t>
  </si>
  <si>
    <t>MUCOVISCIDOZA copii</t>
  </si>
  <si>
    <t>TOTAL BOLI RARE - farmacii</t>
  </si>
  <si>
    <t>BOLI ENDOCRINE</t>
  </si>
  <si>
    <t>TOTAL BOLI ENDOCRINE</t>
  </si>
  <si>
    <t>din care:</t>
  </si>
  <si>
    <t xml:space="preserve">MATERIALE SANITARE = </t>
  </si>
  <si>
    <t>TOTAL GENERAL P.N.S.</t>
  </si>
  <si>
    <t>Materiale sanitare spital</t>
  </si>
  <si>
    <t>Osteoporoza spital</t>
  </si>
  <si>
    <t>Osteoporoza farmacii</t>
  </si>
  <si>
    <t>GUSAspital</t>
  </si>
  <si>
    <t>POST TRANSPLANT - farmacii</t>
  </si>
  <si>
    <t>ORTOPEDIE (materiale sanitare) -spital</t>
  </si>
  <si>
    <t>TESTE COPII -farmacii</t>
  </si>
  <si>
    <t>TESTE ADULTI -farmacii</t>
  </si>
  <si>
    <t>Boala HUNTER - SPITAL</t>
  </si>
  <si>
    <t>Sindrom Prader Willi</t>
  </si>
  <si>
    <t>PNS ctr 1724 SPITAL JUDETEAN =</t>
  </si>
  <si>
    <t>COST-VOLUM - farmacii</t>
  </si>
  <si>
    <t>BOLI RARE</t>
  </si>
  <si>
    <t>Hemofilie + talasemie</t>
  </si>
  <si>
    <t>RADIOTERAPIE *) - SPITAL JUDETEAN</t>
  </si>
  <si>
    <t>HEMOGLOBINA glicozilata *) - DR. VARZARU</t>
  </si>
  <si>
    <t>*) NOTA: suma de la DIALIZA, RADIOTERAPIE si HEMOGLOBINA glicozilata nu este adunata la TOTAL MEDICAMENTE PNS</t>
  </si>
  <si>
    <t xml:space="preserve">PNS+RADIOTERAPIE pt SPITAL = </t>
  </si>
  <si>
    <t>In stoc la 01.01.2017</t>
  </si>
  <si>
    <t>MUCOVISCIDOZA adulti</t>
  </si>
  <si>
    <t>ART8 dupa an 2016</t>
  </si>
  <si>
    <t>SITUATIA SUMELOR DISTRIBUITE PE PROGRAME DE SANATATE CURATIVE , pe TRIMESTRE - AN 2017</t>
  </si>
  <si>
    <t>CREDIT DE ANGAJAMENT AN 2017</t>
  </si>
  <si>
    <t>TOTAL ONCOLOGIE (fara CV)</t>
  </si>
  <si>
    <t>Program national de supleere a functiei renale la bolnavii cu insuficienta renala cronica*)</t>
  </si>
  <si>
    <t xml:space="preserve">MEDICAMENTE (fara CV) = </t>
  </si>
  <si>
    <t>CA pt SPITALE AN 2017 (suma ramasa neutilizata)</t>
  </si>
  <si>
    <t>REST credit de angajament pt FARMACII AN2017</t>
  </si>
  <si>
    <t>CONSUM AN 2017</t>
  </si>
  <si>
    <t>INTRARI AN 2017</t>
  </si>
  <si>
    <t xml:space="preserve">PNS pt FARMACII (fara CV) = </t>
  </si>
  <si>
    <t>Contracte FPS</t>
  </si>
  <si>
    <t>Medie lunara AN 2017</t>
  </si>
  <si>
    <t>DUCHENNE</t>
  </si>
  <si>
    <t>CA/medic</t>
  </si>
  <si>
    <t>CA/materiale</t>
  </si>
  <si>
    <t>cu CV</t>
  </si>
  <si>
    <t>in limita CA aprobat</t>
  </si>
  <si>
    <t>PLATI la spitale - AN 2017</t>
  </si>
  <si>
    <t>In stoc la 31.12.2017</t>
  </si>
  <si>
    <t>Depasire CA/2017 (sumele in mov)</t>
  </si>
  <si>
    <t>CREDIT DE ANGAJAMENT TRIM I 2018</t>
  </si>
  <si>
    <t>CREDIT DE ANGAJAMENT APR-DEC2018</t>
  </si>
  <si>
    <t>CREDIT ANGAJAMENT AN 2018</t>
  </si>
  <si>
    <t>SITUATIA SUMELOR DISTRIBUITE PE PROGRAME DE SANATATE CURATIVE , pe TRIMESTRE - AN 2018</t>
  </si>
  <si>
    <t>COST-VOLUM - spital</t>
  </si>
  <si>
    <t>TOTAL COST-VOLUM</t>
  </si>
  <si>
    <t>ART8 dupa an 2017</t>
  </si>
  <si>
    <t>CONSUM IAN</t>
  </si>
  <si>
    <t>INTRARI IAN</t>
  </si>
  <si>
    <t>PLATI la spitale IAN2018</t>
  </si>
  <si>
    <t>CONSUM FEB</t>
  </si>
  <si>
    <t>INTRARI FEB</t>
  </si>
  <si>
    <t>PLATI la spitale FEB2018</t>
  </si>
  <si>
    <t>CONSUM AN 2018</t>
  </si>
  <si>
    <t>INTRARI AN 2018</t>
  </si>
  <si>
    <t>PLATI la spitale - AN 2018</t>
  </si>
  <si>
    <t>CA pt SPITALE AN 2018 (suma ramasa neutilizata)</t>
  </si>
  <si>
    <t>REST credit de angajament pt FARMACII AN2018</t>
  </si>
  <si>
    <t>In stoc la 31.01.2018</t>
  </si>
  <si>
    <t>CONSUM MAR</t>
  </si>
  <si>
    <t>INTRARI MAR</t>
  </si>
  <si>
    <t>PLATI la spitale MAR2018</t>
  </si>
  <si>
    <t>INTRARI TRIM I</t>
  </si>
  <si>
    <t>CONSUM TRIM I</t>
  </si>
  <si>
    <t>PLATI la spitale TRIM I 2018</t>
  </si>
  <si>
    <t>In stoc la 01.01.2018</t>
  </si>
  <si>
    <t xml:space="preserve">(PNS+RADIOTERAPIE) pt SPITAL = </t>
  </si>
  <si>
    <t>PNS ctr 1724 SPITAL JUDETEAN (cu CV) =</t>
  </si>
  <si>
    <t xml:space="preserve">PNS pt FARMACII (cu CV) = </t>
  </si>
  <si>
    <t>Depasire CA / Trim I 2018 (daca e cu + )</t>
  </si>
  <si>
    <t>CREDIT ANGAJAMENT AN 2018, din care:</t>
  </si>
  <si>
    <t>CA pt TRIM II 2018</t>
  </si>
  <si>
    <t>CA pt TRIM III 2018</t>
  </si>
  <si>
    <t>CA pt TRIM IV 2018</t>
  </si>
  <si>
    <t>CONSUM APR</t>
  </si>
  <si>
    <t>INTRARI APR</t>
  </si>
  <si>
    <t>PLATI la spitale APR2018</t>
  </si>
  <si>
    <t>CONSUM MAI</t>
  </si>
  <si>
    <t>INTRARI MAI</t>
  </si>
  <si>
    <t>PLATI la spitale MAI2018</t>
  </si>
  <si>
    <t>CONSUM IUN</t>
  </si>
  <si>
    <t>INTRARI IUN</t>
  </si>
  <si>
    <t>PLATI la spitale IUN2018</t>
  </si>
  <si>
    <t>CONSUM TRIM II</t>
  </si>
  <si>
    <t>INTRARI TRIM II</t>
  </si>
  <si>
    <t>PLATI la spitale TRIM II 2018</t>
  </si>
  <si>
    <t>CONSUM IUL</t>
  </si>
  <si>
    <t>INTRARI IUL</t>
  </si>
  <si>
    <t>PLATI la spitale IUL2018</t>
  </si>
  <si>
    <t>CONSUM AUG</t>
  </si>
  <si>
    <t>INTRARI AUG</t>
  </si>
  <si>
    <t>PLATI la spitale AUG2018</t>
  </si>
  <si>
    <t>CONSUM SEP</t>
  </si>
  <si>
    <t>INTRARI SEP</t>
  </si>
  <si>
    <t>PLATI la spitale SEP2018</t>
  </si>
  <si>
    <t>CONSUM TRIM III</t>
  </si>
  <si>
    <t>INTRARI TRIM III</t>
  </si>
  <si>
    <t>PLATI la spitale TRIM III 2018</t>
  </si>
  <si>
    <t>TOTAL GENERAL P.N.S. (fara DIAL, RED, HEMOGL)</t>
  </si>
  <si>
    <t>CA / 9 LUNI 2018</t>
  </si>
  <si>
    <t>Depasire CA / 9 LUNI 2018 (daca e cu + )</t>
  </si>
  <si>
    <t>Medie lunara</t>
  </si>
  <si>
    <t>necesar de suplimentat</t>
  </si>
  <si>
    <t>CONSUM OCT</t>
  </si>
  <si>
    <t>INTRARI OCT</t>
  </si>
  <si>
    <t>PLATI la spitale OCT2018</t>
  </si>
  <si>
    <t>CONSUM NOV</t>
  </si>
  <si>
    <t>INTRARI NOV</t>
  </si>
  <si>
    <t>PLATI la spitale NOV2018</t>
  </si>
  <si>
    <t>CONSUM DEC</t>
  </si>
  <si>
    <t>INTRARI DEC</t>
  </si>
  <si>
    <t>PLATI la spitale DEC2018</t>
  </si>
  <si>
    <t>CONSUM TRIM IV</t>
  </si>
  <si>
    <t>INTRARI TRIM IV</t>
  </si>
  <si>
    <t>PLATI la spitale TRIM IV 2018</t>
  </si>
  <si>
    <t>Suplimentari pt DEC2018:</t>
  </si>
  <si>
    <t>ONCOLOGIE - activitate curenta = 500.000 lei</t>
  </si>
  <si>
    <t>DIABET medicamente = 2.560.000 lei     / teste adulti = 7.000 lei</t>
  </si>
  <si>
    <t>Post Transplant = 102.000 lei</t>
  </si>
  <si>
    <t>CONSUM 11 LUNI 2018</t>
  </si>
  <si>
    <t>INTRARI / aprovizionare 11 LUNI 2018</t>
  </si>
  <si>
    <t>PLATI la spitale - 11 LUNI 2018</t>
  </si>
  <si>
    <t>In stoc la 30.11.2018</t>
  </si>
  <si>
    <t>CREDIT DE ANGAJAMENT IANUARIE2019</t>
  </si>
  <si>
    <t>INTRARI / aprovizionare AN 2018</t>
  </si>
  <si>
    <t>In stoc la 31.12.2018</t>
  </si>
  <si>
    <t>CREDIT DE ANGAJAMENT FEBRUARIE2019</t>
  </si>
  <si>
    <t>Medie lunara AN 2018</t>
  </si>
  <si>
    <t>Depasire CA/2018       (cand este cu +) (Nerealizari cu - )</t>
  </si>
  <si>
    <t>In stoc la 01.01.2019</t>
  </si>
  <si>
    <t>CA / AN 2019, din care:</t>
  </si>
  <si>
    <t>PLATI la spitale IAN2019</t>
  </si>
  <si>
    <t xml:space="preserve">TOTAL ONCO spital (cu CV) </t>
  </si>
  <si>
    <t>PLATI la spitale FEB2019</t>
  </si>
  <si>
    <t>STOC la 31.01.2019</t>
  </si>
  <si>
    <t>TOTAL CONSUM</t>
  </si>
  <si>
    <t>TOTAL INTRARI</t>
  </si>
  <si>
    <t>TOTAL PLATI la spitale</t>
  </si>
  <si>
    <t>PLATI la spitale MAR2019</t>
  </si>
  <si>
    <t xml:space="preserve">INTRARI TRIM I </t>
  </si>
  <si>
    <t>PLATI la spitale TRIM I 2019</t>
  </si>
  <si>
    <t>DISPONIBIL din CA/spital - AN 2019</t>
  </si>
  <si>
    <t>DISPONIBIL din CA/farmacii -AN2019</t>
  </si>
  <si>
    <t>CREDIT DE ANGAJAMENT MARTIE2019</t>
  </si>
  <si>
    <t>CREDIT DE ANGAJAMENT FEBRUARIE 2019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</si>
</sst>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41">
    <font>
      <sz val="10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1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color indexed="22"/>
      <name val="Arial"/>
      <family val="2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6"/>
      <name val="Arial"/>
      <family val="2"/>
    </font>
    <font>
      <b/>
      <i/>
      <sz val="9"/>
      <name val="Arial"/>
      <family val="2"/>
    </font>
    <font>
      <sz val="7"/>
      <name val="Arial"/>
      <family val="0"/>
    </font>
    <font>
      <b/>
      <sz val="7"/>
      <name val="Arial"/>
      <family val="0"/>
    </font>
    <font>
      <sz val="6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748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4" fontId="4" fillId="20" borderId="12" xfId="0" applyNumberFormat="1" applyFont="1" applyFill="1" applyBorder="1" applyAlignment="1">
      <alignment vertical="center" wrapText="1"/>
    </xf>
    <xf numFmtId="0" fontId="1" fillId="2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vertical="center" wrapText="1"/>
    </xf>
    <xf numFmtId="4" fontId="4" fillId="4" borderId="12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" fontId="4" fillId="0" borderId="15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right" wrapText="1"/>
    </xf>
    <xf numFmtId="4" fontId="4" fillId="0" borderId="18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wrapText="1"/>
    </xf>
    <xf numFmtId="0" fontId="1" fillId="0" borderId="21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/>
    </xf>
    <xf numFmtId="4" fontId="4" fillId="0" borderId="0" xfId="0" applyNumberFormat="1" applyFont="1" applyFill="1" applyAlignment="1">
      <alignment/>
    </xf>
    <xf numFmtId="4" fontId="4" fillId="0" borderId="23" xfId="0" applyNumberFormat="1" applyFont="1" applyFill="1" applyBorder="1" applyAlignment="1">
      <alignment horizontal="right" wrapText="1"/>
    </xf>
    <xf numFmtId="4" fontId="4" fillId="0" borderId="24" xfId="0" applyNumberFormat="1" applyFont="1" applyFill="1" applyBorder="1" applyAlignment="1">
      <alignment horizontal="right" wrapText="1"/>
    </xf>
    <xf numFmtId="4" fontId="0" fillId="0" borderId="25" xfId="0" applyNumberFormat="1" applyFill="1" applyBorder="1" applyAlignment="1">
      <alignment vertical="center"/>
    </xf>
    <xf numFmtId="4" fontId="0" fillId="0" borderId="26" xfId="0" applyNumberFormat="1" applyFill="1" applyBorder="1" applyAlignment="1">
      <alignment vertical="center"/>
    </xf>
    <xf numFmtId="4" fontId="4" fillId="24" borderId="12" xfId="0" applyNumberFormat="1" applyFont="1" applyFill="1" applyBorder="1" applyAlignment="1">
      <alignment vertical="center" wrapText="1"/>
    </xf>
    <xf numFmtId="4" fontId="4" fillId="22" borderId="27" xfId="0" applyNumberFormat="1" applyFont="1" applyFill="1" applyBorder="1" applyAlignment="1">
      <alignment horizontal="center" vertical="center" wrapText="1"/>
    </xf>
    <xf numFmtId="4" fontId="4" fillId="22" borderId="28" xfId="0" applyNumberFormat="1" applyFont="1" applyFill="1" applyBorder="1" applyAlignment="1">
      <alignment horizontal="center" vertical="center" wrapText="1"/>
    </xf>
    <xf numFmtId="4" fontId="4" fillId="24" borderId="29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4" fontId="0" fillId="0" borderId="30" xfId="0" applyNumberFormat="1" applyFill="1" applyBorder="1" applyAlignment="1">
      <alignment vertical="center"/>
    </xf>
    <xf numFmtId="4" fontId="0" fillId="0" borderId="15" xfId="0" applyNumberForma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4" fontId="0" fillId="0" borderId="31" xfId="0" applyNumberFormat="1" applyFill="1" applyBorder="1" applyAlignment="1">
      <alignment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4" fillId="24" borderId="19" xfId="0" applyFont="1" applyFill="1" applyBorder="1" applyAlignment="1">
      <alignment horizontal="center" vertical="center" wrapText="1"/>
    </xf>
    <xf numFmtId="4" fontId="5" fillId="22" borderId="2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4" fontId="1" fillId="24" borderId="25" xfId="0" applyNumberFormat="1" applyFont="1" applyFill="1" applyBorder="1" applyAlignment="1">
      <alignment vertical="center" wrapText="1"/>
    </xf>
    <xf numFmtId="4" fontId="1" fillId="24" borderId="26" xfId="0" applyNumberFormat="1" applyFont="1" applyFill="1" applyBorder="1" applyAlignment="1">
      <alignment vertical="center" wrapText="1"/>
    </xf>
    <xf numFmtId="4" fontId="1" fillId="24" borderId="32" xfId="0" applyNumberFormat="1" applyFont="1" applyFill="1" applyBorder="1" applyAlignment="1">
      <alignment vertical="center" wrapText="1"/>
    </xf>
    <xf numFmtId="4" fontId="1" fillId="24" borderId="15" xfId="0" applyNumberFormat="1" applyFont="1" applyFill="1" applyBorder="1" applyAlignment="1">
      <alignment vertical="center" wrapText="1"/>
    </xf>
    <xf numFmtId="4" fontId="1" fillId="24" borderId="30" xfId="0" applyNumberFormat="1" applyFont="1" applyFill="1" applyBorder="1" applyAlignment="1">
      <alignment vertical="center" wrapText="1"/>
    </xf>
    <xf numFmtId="4" fontId="4" fillId="24" borderId="15" xfId="0" applyNumberFormat="1" applyFont="1" applyFill="1" applyBorder="1" applyAlignment="1">
      <alignment vertical="center" wrapText="1"/>
    </xf>
    <xf numFmtId="4" fontId="4" fillId="24" borderId="32" xfId="0" applyNumberFormat="1" applyFont="1" applyFill="1" applyBorder="1" applyAlignment="1">
      <alignment vertical="center" wrapText="1"/>
    </xf>
    <xf numFmtId="4" fontId="4" fillId="24" borderId="33" xfId="0" applyNumberFormat="1" applyFont="1" applyFill="1" applyBorder="1" applyAlignment="1">
      <alignment vertical="center" wrapText="1"/>
    </xf>
    <xf numFmtId="4" fontId="4" fillId="24" borderId="34" xfId="0" applyNumberFormat="1" applyFont="1" applyFill="1" applyBorder="1" applyAlignment="1">
      <alignment vertical="center" wrapText="1"/>
    </xf>
    <xf numFmtId="4" fontId="1" fillId="24" borderId="35" xfId="0" applyNumberFormat="1" applyFont="1" applyFill="1" applyBorder="1" applyAlignment="1">
      <alignment horizontal="right" vertical="center" wrapText="1"/>
    </xf>
    <xf numFmtId="4" fontId="1" fillId="24" borderId="33" xfId="0" applyNumberFormat="1" applyFont="1" applyFill="1" applyBorder="1" applyAlignment="1">
      <alignment horizontal="right" vertical="center" wrapText="1"/>
    </xf>
    <xf numFmtId="4" fontId="1" fillId="24" borderId="27" xfId="0" applyNumberFormat="1" applyFont="1" applyFill="1" applyBorder="1" applyAlignment="1">
      <alignment horizontal="right" vertical="center" wrapText="1"/>
    </xf>
    <xf numFmtId="4" fontId="1" fillId="24" borderId="36" xfId="0" applyNumberFormat="1" applyFont="1" applyFill="1" applyBorder="1" applyAlignment="1">
      <alignment horizontal="right" vertical="center" wrapText="1"/>
    </xf>
    <xf numFmtId="4" fontId="0" fillId="0" borderId="12" xfId="0" applyNumberFormat="1" applyFill="1" applyBorder="1" applyAlignment="1">
      <alignment vertical="center"/>
    </xf>
    <xf numFmtId="4" fontId="4" fillId="4" borderId="19" xfId="0" applyNumberFormat="1" applyFont="1" applyFill="1" applyBorder="1" applyAlignment="1">
      <alignment vertical="center"/>
    </xf>
    <xf numFmtId="4" fontId="4" fillId="4" borderId="33" xfId="0" applyNumberFormat="1" applyFont="1" applyFill="1" applyBorder="1" applyAlignment="1">
      <alignment vertical="center"/>
    </xf>
    <xf numFmtId="4" fontId="4" fillId="4" borderId="19" xfId="0" applyNumberFormat="1" applyFont="1" applyFill="1" applyBorder="1" applyAlignment="1">
      <alignment vertical="center" wrapText="1"/>
    </xf>
    <xf numFmtId="4" fontId="4" fillId="4" borderId="12" xfId="0" applyNumberFormat="1" applyFont="1" applyFill="1" applyBorder="1" applyAlignment="1">
      <alignment vertical="center"/>
    </xf>
    <xf numFmtId="4" fontId="4" fillId="4" borderId="27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>
      <alignment vertical="center" wrapText="1"/>
    </xf>
    <xf numFmtId="4" fontId="4" fillId="0" borderId="37" xfId="0" applyNumberFormat="1" applyFont="1" applyFill="1" applyBorder="1" applyAlignment="1">
      <alignment horizontal="right" wrapText="1"/>
    </xf>
    <xf numFmtId="4" fontId="4" fillId="0" borderId="38" xfId="0" applyNumberFormat="1" applyFont="1" applyFill="1" applyBorder="1" applyAlignment="1">
      <alignment horizontal="right" wrapText="1"/>
    </xf>
    <xf numFmtId="4" fontId="4" fillId="24" borderId="19" xfId="0" applyNumberFormat="1" applyFont="1" applyFill="1" applyBorder="1" applyAlignment="1">
      <alignment vertical="center"/>
    </xf>
    <xf numFmtId="4" fontId="4" fillId="24" borderId="33" xfId="0" applyNumberFormat="1" applyFont="1" applyFill="1" applyBorder="1" applyAlignment="1">
      <alignment vertical="center"/>
    </xf>
    <xf numFmtId="4" fontId="4" fillId="24" borderId="19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left" vertical="center"/>
    </xf>
    <xf numFmtId="3" fontId="0" fillId="0" borderId="0" xfId="0" applyNumberFormat="1" applyFill="1" applyAlignment="1">
      <alignment wrapText="1"/>
    </xf>
    <xf numFmtId="3" fontId="5" fillId="22" borderId="12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right" wrapText="1"/>
    </xf>
    <xf numFmtId="3" fontId="4" fillId="0" borderId="24" xfId="0" applyNumberFormat="1" applyFont="1" applyFill="1" applyBorder="1" applyAlignment="1">
      <alignment horizontal="right" wrapText="1"/>
    </xf>
    <xf numFmtId="3" fontId="4" fillId="0" borderId="27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4" fillId="24" borderId="39" xfId="0" applyNumberFormat="1" applyFont="1" applyFill="1" applyBorder="1" applyAlignment="1">
      <alignment horizontal="center" vertical="center" wrapText="1"/>
    </xf>
    <xf numFmtId="3" fontId="3" fillId="25" borderId="15" xfId="0" applyNumberFormat="1" applyFont="1" applyFill="1" applyBorder="1" applyAlignment="1">
      <alignment vertical="center" wrapText="1"/>
    </xf>
    <xf numFmtId="3" fontId="3" fillId="25" borderId="26" xfId="0" applyNumberFormat="1" applyFont="1" applyFill="1" applyBorder="1" applyAlignment="1">
      <alignment vertical="center" wrapText="1"/>
    </xf>
    <xf numFmtId="3" fontId="3" fillId="25" borderId="32" xfId="0" applyNumberFormat="1" applyFont="1" applyFill="1" applyBorder="1" applyAlignment="1">
      <alignment vertical="center" wrapText="1"/>
    </xf>
    <xf numFmtId="3" fontId="3" fillId="25" borderId="12" xfId="0" applyNumberFormat="1" applyFont="1" applyFill="1" applyBorder="1" applyAlignment="1">
      <alignment vertical="center" wrapText="1"/>
    </xf>
    <xf numFmtId="3" fontId="3" fillId="25" borderId="30" xfId="0" applyNumberFormat="1" applyFont="1" applyFill="1" applyBorder="1" applyAlignment="1">
      <alignment vertical="center" wrapText="1"/>
    </xf>
    <xf numFmtId="3" fontId="3" fillId="25" borderId="12" xfId="0" applyNumberFormat="1" applyFont="1" applyFill="1" applyBorder="1" applyAlignment="1">
      <alignment horizontal="right" vertical="center" wrapText="1"/>
    </xf>
    <xf numFmtId="0" fontId="9" fillId="0" borderId="40" xfId="0" applyFont="1" applyFill="1" applyBorder="1" applyAlignment="1">
      <alignment wrapText="1"/>
    </xf>
    <xf numFmtId="0" fontId="9" fillId="0" borderId="41" xfId="0" applyFont="1" applyFill="1" applyBorder="1" applyAlignment="1">
      <alignment wrapText="1"/>
    </xf>
    <xf numFmtId="4" fontId="0" fillId="24" borderId="42" xfId="0" applyNumberFormat="1" applyFill="1" applyBorder="1" applyAlignment="1">
      <alignment vertical="center"/>
    </xf>
    <xf numFmtId="4" fontId="0" fillId="24" borderId="36" xfId="0" applyNumberFormat="1" applyFill="1" applyBorder="1" applyAlignment="1">
      <alignment vertical="center"/>
    </xf>
    <xf numFmtId="4" fontId="0" fillId="24" borderId="43" xfId="0" applyNumberFormat="1" applyFill="1" applyBorder="1" applyAlignment="1">
      <alignment vertical="center"/>
    </xf>
    <xf numFmtId="4" fontId="0" fillId="24" borderId="19" xfId="0" applyNumberFormat="1" applyFill="1" applyBorder="1" applyAlignment="1">
      <alignment vertical="center"/>
    </xf>
    <xf numFmtId="4" fontId="0" fillId="24" borderId="33" xfId="0" applyNumberFormat="1" applyFill="1" applyBorder="1" applyAlignment="1">
      <alignment vertical="center"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4" fontId="4" fillId="4" borderId="44" xfId="0" applyNumberFormat="1" applyFont="1" applyFill="1" applyBorder="1" applyAlignment="1">
      <alignment vertical="center"/>
    </xf>
    <xf numFmtId="4" fontId="4" fillId="4" borderId="45" xfId="0" applyNumberFormat="1" applyFont="1" applyFill="1" applyBorder="1" applyAlignment="1">
      <alignment vertical="center"/>
    </xf>
    <xf numFmtId="4" fontId="4" fillId="4" borderId="46" xfId="0" applyNumberFormat="1" applyFont="1" applyFill="1" applyBorder="1" applyAlignment="1">
      <alignment vertical="center"/>
    </xf>
    <xf numFmtId="4" fontId="4" fillId="4" borderId="47" xfId="0" applyNumberFormat="1" applyFont="1" applyFill="1" applyBorder="1" applyAlignment="1">
      <alignment vertical="center"/>
    </xf>
    <xf numFmtId="4" fontId="4" fillId="4" borderId="48" xfId="0" applyNumberFormat="1" applyFont="1" applyFill="1" applyBorder="1" applyAlignment="1">
      <alignment vertical="center"/>
    </xf>
    <xf numFmtId="4" fontId="0" fillId="20" borderId="49" xfId="0" applyNumberFormat="1" applyFill="1" applyBorder="1" applyAlignment="1">
      <alignment vertical="center"/>
    </xf>
    <xf numFmtId="4" fontId="0" fillId="20" borderId="50" xfId="0" applyNumberFormat="1" applyFill="1" applyBorder="1" applyAlignment="1">
      <alignment vertical="center"/>
    </xf>
    <xf numFmtId="4" fontId="0" fillId="20" borderId="51" xfId="0" applyNumberFormat="1" applyFill="1" applyBorder="1" applyAlignment="1">
      <alignment vertical="center"/>
    </xf>
    <xf numFmtId="4" fontId="0" fillId="20" borderId="31" xfId="0" applyNumberFormat="1" applyFill="1" applyBorder="1" applyAlignment="1">
      <alignment vertical="center"/>
    </xf>
    <xf numFmtId="4" fontId="0" fillId="20" borderId="52" xfId="0" applyNumberFormat="1" applyFill="1" applyBorder="1" applyAlignment="1">
      <alignment vertical="center"/>
    </xf>
    <xf numFmtId="4" fontId="0" fillId="20" borderId="53" xfId="0" applyNumberFormat="1" applyFill="1" applyBorder="1" applyAlignment="1">
      <alignment vertical="center"/>
    </xf>
    <xf numFmtId="4" fontId="0" fillId="20" borderId="11" xfId="0" applyNumberFormat="1" applyFill="1" applyBorder="1" applyAlignment="1">
      <alignment vertical="center"/>
    </xf>
    <xf numFmtId="4" fontId="0" fillId="20" borderId="54" xfId="0" applyNumberFormat="1" applyFill="1" applyBorder="1" applyAlignment="1">
      <alignment vertical="center"/>
    </xf>
    <xf numFmtId="4" fontId="0" fillId="20" borderId="55" xfId="0" applyNumberFormat="1" applyFill="1" applyBorder="1" applyAlignment="1">
      <alignment vertical="center"/>
    </xf>
    <xf numFmtId="4" fontId="0" fillId="20" borderId="56" xfId="0" applyNumberFormat="1" applyFill="1" applyBorder="1" applyAlignment="1">
      <alignment vertical="center"/>
    </xf>
    <xf numFmtId="4" fontId="4" fillId="20" borderId="35" xfId="0" applyNumberFormat="1" applyFont="1" applyFill="1" applyBorder="1" applyAlignment="1">
      <alignment horizontal="center" vertical="center" wrapText="1"/>
    </xf>
    <xf numFmtId="4" fontId="4" fillId="20" borderId="34" xfId="0" applyNumberFormat="1" applyFont="1" applyFill="1" applyBorder="1" applyAlignment="1">
      <alignment horizontal="center" vertical="center" wrapText="1"/>
    </xf>
    <xf numFmtId="4" fontId="1" fillId="5" borderId="32" xfId="0" applyNumberFormat="1" applyFont="1" applyFill="1" applyBorder="1" applyAlignment="1">
      <alignment vertical="center" wrapText="1"/>
    </xf>
    <xf numFmtId="0" fontId="1" fillId="5" borderId="57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vertical="center" wrapText="1"/>
    </xf>
    <xf numFmtId="3" fontId="3" fillId="5" borderId="32" xfId="0" applyNumberFormat="1" applyFont="1" applyFill="1" applyBorder="1" applyAlignment="1">
      <alignment vertical="center" wrapText="1"/>
    </xf>
    <xf numFmtId="4" fontId="0" fillId="5" borderId="36" xfId="0" applyNumberFormat="1" applyFill="1" applyBorder="1" applyAlignment="1">
      <alignment vertical="center"/>
    </xf>
    <xf numFmtId="4" fontId="0" fillId="5" borderId="51" xfId="0" applyNumberFormat="1" applyFill="1" applyBorder="1" applyAlignment="1">
      <alignment vertical="center"/>
    </xf>
    <xf numFmtId="4" fontId="0" fillId="5" borderId="31" xfId="0" applyNumberFormat="1" applyFill="1" applyBorder="1" applyAlignment="1">
      <alignment vertical="center"/>
    </xf>
    <xf numFmtId="4" fontId="4" fillId="5" borderId="45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wrapText="1"/>
    </xf>
    <xf numFmtId="4" fontId="0" fillId="4" borderId="25" xfId="0" applyNumberFormat="1" applyFill="1" applyBorder="1" applyAlignment="1">
      <alignment wrapText="1"/>
    </xf>
    <xf numFmtId="3" fontId="4" fillId="0" borderId="59" xfId="0" applyNumberFormat="1" applyFont="1" applyFill="1" applyBorder="1" applyAlignment="1">
      <alignment wrapText="1"/>
    </xf>
    <xf numFmtId="0" fontId="4" fillId="24" borderId="47" xfId="0" applyFont="1" applyFill="1" applyBorder="1" applyAlignment="1">
      <alignment wrapText="1"/>
    </xf>
    <xf numFmtId="4" fontId="0" fillId="24" borderId="26" xfId="0" applyNumberFormat="1" applyFill="1" applyBorder="1" applyAlignment="1">
      <alignment wrapText="1"/>
    </xf>
    <xf numFmtId="4" fontId="11" fillId="0" borderId="0" xfId="0" applyNumberFormat="1" applyFont="1" applyFill="1" applyAlignment="1">
      <alignment/>
    </xf>
    <xf numFmtId="4" fontId="11" fillId="0" borderId="0" xfId="0" applyNumberFormat="1" applyFont="1" applyFill="1" applyAlignment="1">
      <alignment vertical="center"/>
    </xf>
    <xf numFmtId="4" fontId="9" fillId="0" borderId="0" xfId="0" applyNumberFormat="1" applyFont="1" applyFill="1" applyBorder="1" applyAlignment="1">
      <alignment/>
    </xf>
    <xf numFmtId="4" fontId="11" fillId="0" borderId="0" xfId="0" applyNumberFormat="1" applyFont="1" applyFill="1" applyAlignment="1">
      <alignment horizontal="center" vertical="center"/>
    </xf>
    <xf numFmtId="4" fontId="8" fillId="24" borderId="35" xfId="0" applyNumberFormat="1" applyFont="1" applyFill="1" applyBorder="1" applyAlignment="1">
      <alignment horizontal="center" vertical="center" wrapText="1"/>
    </xf>
    <xf numFmtId="4" fontId="11" fillId="0" borderId="25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vertical="center"/>
    </xf>
    <xf numFmtId="4" fontId="11" fillId="0" borderId="31" xfId="0" applyNumberFormat="1" applyFont="1" applyFill="1" applyBorder="1" applyAlignment="1">
      <alignment/>
    </xf>
    <xf numFmtId="3" fontId="4" fillId="25" borderId="12" xfId="0" applyNumberFormat="1" applyFont="1" applyFill="1" applyBorder="1" applyAlignment="1">
      <alignment horizontal="center" vertical="center" wrapText="1"/>
    </xf>
    <xf numFmtId="4" fontId="4" fillId="4" borderId="49" xfId="0" applyNumberFormat="1" applyFont="1" applyFill="1" applyBorder="1" applyAlignment="1">
      <alignment vertical="center"/>
    </xf>
    <xf numFmtId="4" fontId="4" fillId="4" borderId="51" xfId="0" applyNumberFormat="1" applyFont="1" applyFill="1" applyBorder="1" applyAlignment="1">
      <alignment vertical="center"/>
    </xf>
    <xf numFmtId="4" fontId="4" fillId="5" borderId="51" xfId="0" applyNumberFormat="1" applyFont="1" applyFill="1" applyBorder="1" applyAlignment="1">
      <alignment vertical="center"/>
    </xf>
    <xf numFmtId="4" fontId="4" fillId="4" borderId="52" xfId="0" applyNumberFormat="1" applyFont="1" applyFill="1" applyBorder="1" applyAlignment="1">
      <alignment vertical="center"/>
    </xf>
    <xf numFmtId="4" fontId="4" fillId="4" borderId="11" xfId="0" applyNumberFormat="1" applyFont="1" applyFill="1" applyBorder="1" applyAlignment="1">
      <alignment vertical="center"/>
    </xf>
    <xf numFmtId="4" fontId="4" fillId="4" borderId="55" xfId="0" applyNumberFormat="1" applyFont="1" applyFill="1" applyBorder="1" applyAlignment="1">
      <alignment vertical="center"/>
    </xf>
    <xf numFmtId="4" fontId="8" fillId="4" borderId="35" xfId="0" applyNumberFormat="1" applyFont="1" applyFill="1" applyBorder="1" applyAlignment="1">
      <alignment horizontal="center" vertical="center" wrapText="1"/>
    </xf>
    <xf numFmtId="4" fontId="8" fillId="4" borderId="34" xfId="0" applyNumberFormat="1" applyFont="1" applyFill="1" applyBorder="1" applyAlignment="1">
      <alignment horizontal="center" vertical="center" wrapText="1"/>
    </xf>
    <xf numFmtId="4" fontId="9" fillId="20" borderId="41" xfId="0" applyNumberFormat="1" applyFont="1" applyFill="1" applyBorder="1" applyAlignment="1">
      <alignment horizontal="center" vertical="center" wrapText="1"/>
    </xf>
    <xf numFmtId="4" fontId="11" fillId="20" borderId="44" xfId="0" applyNumberFormat="1" applyFont="1" applyFill="1" applyBorder="1" applyAlignment="1">
      <alignment vertical="center"/>
    </xf>
    <xf numFmtId="4" fontId="11" fillId="20" borderId="45" xfId="0" applyNumberFormat="1" applyFont="1" applyFill="1" applyBorder="1" applyAlignment="1">
      <alignment vertical="center"/>
    </xf>
    <xf numFmtId="4" fontId="11" fillId="5" borderId="45" xfId="0" applyNumberFormat="1" applyFont="1" applyFill="1" applyBorder="1" applyAlignment="1">
      <alignment vertical="center"/>
    </xf>
    <xf numFmtId="4" fontId="9" fillId="24" borderId="12" xfId="0" applyNumberFormat="1" applyFont="1" applyFill="1" applyBorder="1" applyAlignment="1">
      <alignment vertical="center"/>
    </xf>
    <xf numFmtId="4" fontId="9" fillId="24" borderId="27" xfId="0" applyNumberFormat="1" applyFont="1" applyFill="1" applyBorder="1" applyAlignment="1">
      <alignment vertical="center"/>
    </xf>
    <xf numFmtId="4" fontId="9" fillId="24" borderId="12" xfId="0" applyNumberFormat="1" applyFont="1" applyFill="1" applyBorder="1" applyAlignment="1">
      <alignment vertical="center" wrapText="1"/>
    </xf>
    <xf numFmtId="4" fontId="11" fillId="20" borderId="46" xfId="0" applyNumberFormat="1" applyFont="1" applyFill="1" applyBorder="1" applyAlignment="1">
      <alignment vertical="center"/>
    </xf>
    <xf numFmtId="4" fontId="11" fillId="20" borderId="47" xfId="0" applyNumberFormat="1" applyFont="1" applyFill="1" applyBorder="1" applyAlignment="1">
      <alignment vertical="center"/>
    </xf>
    <xf numFmtId="4" fontId="11" fillId="20" borderId="48" xfId="0" applyNumberFormat="1" applyFont="1" applyFill="1" applyBorder="1" applyAlignment="1">
      <alignment vertical="center"/>
    </xf>
    <xf numFmtId="4" fontId="9" fillId="22" borderId="28" xfId="0" applyNumberFormat="1" applyFont="1" applyFill="1" applyBorder="1" applyAlignment="1">
      <alignment horizontal="center" vertical="center" wrapText="1"/>
    </xf>
    <xf numFmtId="4" fontId="9" fillId="0" borderId="23" xfId="0" applyNumberFormat="1" applyFont="1" applyFill="1" applyBorder="1" applyAlignment="1">
      <alignment horizontal="right" wrapText="1"/>
    </xf>
    <xf numFmtId="4" fontId="9" fillId="0" borderId="24" xfId="0" applyNumberFormat="1" applyFont="1" applyFill="1" applyBorder="1" applyAlignment="1">
      <alignment horizontal="right" wrapText="1"/>
    </xf>
    <xf numFmtId="4" fontId="11" fillId="4" borderId="25" xfId="0" applyNumberFormat="1" applyFont="1" applyFill="1" applyBorder="1" applyAlignment="1">
      <alignment wrapText="1"/>
    </xf>
    <xf numFmtId="4" fontId="11" fillId="24" borderId="26" xfId="0" applyNumberFormat="1" applyFont="1" applyFill="1" applyBorder="1" applyAlignment="1">
      <alignment wrapText="1"/>
    </xf>
    <xf numFmtId="4" fontId="9" fillId="0" borderId="32" xfId="0" applyNumberFormat="1" applyFont="1" applyFill="1" applyBorder="1" applyAlignment="1">
      <alignment vertical="center" wrapText="1"/>
    </xf>
    <xf numFmtId="0" fontId="12" fillId="0" borderId="0" xfId="0" applyFont="1" applyFill="1" applyAlignment="1">
      <alignment horizontal="right" vertical="center"/>
    </xf>
    <xf numFmtId="0" fontId="9" fillId="0" borderId="0" xfId="0" applyFont="1" applyFill="1" applyAlignment="1">
      <alignment/>
    </xf>
    <xf numFmtId="0" fontId="11" fillId="0" borderId="0" xfId="0" applyFont="1" applyFill="1" applyAlignment="1">
      <alignment/>
    </xf>
    <xf numFmtId="4" fontId="9" fillId="0" borderId="60" xfId="0" applyNumberFormat="1" applyFont="1" applyFill="1" applyBorder="1" applyAlignment="1">
      <alignment horizontal="right" wrapText="1"/>
    </xf>
    <xf numFmtId="4" fontId="9" fillId="0" borderId="0" xfId="0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 quotePrefix="1">
      <alignment horizontal="right"/>
    </xf>
    <xf numFmtId="4" fontId="4" fillId="0" borderId="0" xfId="0" applyNumberFormat="1" applyFont="1" applyFill="1" applyAlignment="1" quotePrefix="1">
      <alignment horizontal="right" vertical="center"/>
    </xf>
    <xf numFmtId="3" fontId="0" fillId="0" borderId="0" xfId="0" applyNumberFormat="1" applyFill="1" applyBorder="1" applyAlignment="1">
      <alignment/>
    </xf>
    <xf numFmtId="0" fontId="9" fillId="3" borderId="34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vertical="center"/>
    </xf>
    <xf numFmtId="4" fontId="13" fillId="3" borderId="25" xfId="0" applyNumberFormat="1" applyFont="1" applyFill="1" applyBorder="1" applyAlignment="1">
      <alignment vertical="center" wrapText="1"/>
    </xf>
    <xf numFmtId="4" fontId="13" fillId="3" borderId="26" xfId="0" applyNumberFormat="1" applyFont="1" applyFill="1" applyBorder="1" applyAlignment="1">
      <alignment vertical="center" wrapText="1"/>
    </xf>
    <xf numFmtId="4" fontId="13" fillId="5" borderId="32" xfId="0" applyNumberFormat="1" applyFont="1" applyFill="1" applyBorder="1" applyAlignment="1">
      <alignment vertical="center" wrapText="1"/>
    </xf>
    <xf numFmtId="4" fontId="9" fillId="3" borderId="12" xfId="0" applyNumberFormat="1" applyFont="1" applyFill="1" applyBorder="1" applyAlignment="1">
      <alignment vertical="center"/>
    </xf>
    <xf numFmtId="4" fontId="13" fillId="3" borderId="15" xfId="0" applyNumberFormat="1" applyFont="1" applyFill="1" applyBorder="1" applyAlignment="1">
      <alignment vertical="center" wrapText="1"/>
    </xf>
    <xf numFmtId="4" fontId="13" fillId="3" borderId="30" xfId="0" applyNumberFormat="1" applyFont="1" applyFill="1" applyBorder="1" applyAlignment="1">
      <alignment vertical="center" wrapText="1"/>
    </xf>
    <xf numFmtId="4" fontId="9" fillId="3" borderId="15" xfId="0" applyNumberFormat="1" applyFont="1" applyFill="1" applyBorder="1" applyAlignment="1">
      <alignment vertical="center" wrapText="1"/>
    </xf>
    <xf numFmtId="4" fontId="9" fillId="3" borderId="32" xfId="0" applyNumberFormat="1" applyFont="1" applyFill="1" applyBorder="1" applyAlignment="1">
      <alignment vertical="center" wrapText="1"/>
    </xf>
    <xf numFmtId="4" fontId="9" fillId="3" borderId="12" xfId="0" applyNumberFormat="1" applyFont="1" applyFill="1" applyBorder="1" applyAlignment="1">
      <alignment vertical="center" wrapText="1"/>
    </xf>
    <xf numFmtId="4" fontId="9" fillId="3" borderId="27" xfId="0" applyNumberFormat="1" applyFont="1" applyFill="1" applyBorder="1" applyAlignment="1">
      <alignment vertical="center"/>
    </xf>
    <xf numFmtId="4" fontId="13" fillId="3" borderId="32" xfId="0" applyNumberFormat="1" applyFont="1" applyFill="1" applyBorder="1" applyAlignment="1">
      <alignment vertical="center" wrapText="1"/>
    </xf>
    <xf numFmtId="4" fontId="9" fillId="3" borderId="34" xfId="0" applyNumberFormat="1" applyFont="1" applyFill="1" applyBorder="1" applyAlignment="1">
      <alignment vertical="center" wrapText="1"/>
    </xf>
    <xf numFmtId="4" fontId="13" fillId="3" borderId="34" xfId="0" applyNumberFormat="1" applyFont="1" applyFill="1" applyBorder="1" applyAlignment="1">
      <alignment horizontal="right" vertical="center" wrapText="1"/>
    </xf>
    <xf numFmtId="4" fontId="13" fillId="3" borderId="26" xfId="0" applyNumberFormat="1" applyFont="1" applyFill="1" applyBorder="1" applyAlignment="1">
      <alignment horizontal="right" vertical="center" wrapText="1"/>
    </xf>
    <xf numFmtId="4" fontId="13" fillId="3" borderId="27" xfId="0" applyNumberFormat="1" applyFont="1" applyFill="1" applyBorder="1" applyAlignment="1">
      <alignment horizontal="right" vertical="center" wrapText="1"/>
    </xf>
    <xf numFmtId="4" fontId="1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9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" fontId="4" fillId="26" borderId="45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4" fontId="4" fillId="26" borderId="12" xfId="0" applyNumberFormat="1" applyFont="1" applyFill="1" applyBorder="1" applyAlignment="1">
      <alignment vertical="center"/>
    </xf>
    <xf numFmtId="4" fontId="0" fillId="26" borderId="12" xfId="0" applyNumberFormat="1" applyFill="1" applyBorder="1" applyAlignment="1">
      <alignment vertical="center"/>
    </xf>
    <xf numFmtId="4" fontId="4" fillId="0" borderId="12" xfId="0" applyNumberFormat="1" applyFont="1" applyFill="1" applyBorder="1" applyAlignment="1">
      <alignment vertical="center"/>
    </xf>
    <xf numFmtId="4" fontId="14" fillId="26" borderId="15" xfId="0" applyNumberFormat="1" applyFont="1" applyFill="1" applyBorder="1" applyAlignment="1">
      <alignment vertical="center"/>
    </xf>
    <xf numFmtId="4" fontId="4" fillId="0" borderId="27" xfId="0" applyNumberFormat="1" applyFont="1" applyFill="1" applyBorder="1" applyAlignment="1">
      <alignment vertical="center"/>
    </xf>
    <xf numFmtId="4" fontId="4" fillId="0" borderId="32" xfId="0" applyNumberFormat="1" applyFont="1" applyFill="1" applyBorder="1" applyAlignment="1">
      <alignment vertical="center"/>
    </xf>
    <xf numFmtId="4" fontId="4" fillId="0" borderId="45" xfId="0" applyNumberFormat="1" applyFont="1" applyFill="1" applyBorder="1" applyAlignment="1">
      <alignment vertical="center"/>
    </xf>
    <xf numFmtId="4" fontId="9" fillId="0" borderId="61" xfId="0" applyNumberFormat="1" applyFont="1" applyFill="1" applyBorder="1" applyAlignment="1">
      <alignment horizontal="right" wrapText="1"/>
    </xf>
    <xf numFmtId="4" fontId="9" fillId="3" borderId="62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Alignment="1">
      <alignment/>
    </xf>
    <xf numFmtId="3" fontId="3" fillId="0" borderId="25" xfId="0" applyNumberFormat="1" applyFont="1" applyFill="1" applyBorder="1" applyAlignment="1">
      <alignment horizontal="center" vertical="center" wrapText="1"/>
    </xf>
    <xf numFmtId="3" fontId="3" fillId="0" borderId="26" xfId="0" applyNumberFormat="1" applyFont="1" applyFill="1" applyBorder="1" applyAlignment="1">
      <alignment vertical="center"/>
    </xf>
    <xf numFmtId="3" fontId="15" fillId="5" borderId="30" xfId="0" applyNumberFormat="1" applyFont="1" applyFill="1" applyBorder="1" applyAlignment="1">
      <alignment vertical="center"/>
    </xf>
    <xf numFmtId="3" fontId="3" fillId="25" borderId="12" xfId="0" applyNumberFormat="1" applyFont="1" applyFill="1" applyBorder="1" applyAlignment="1">
      <alignment vertical="center"/>
    </xf>
    <xf numFmtId="3" fontId="3" fillId="0" borderId="15" xfId="0" applyNumberFormat="1" applyFont="1" applyFill="1" applyBorder="1" applyAlignment="1">
      <alignment vertical="center"/>
    </xf>
    <xf numFmtId="3" fontId="3" fillId="0" borderId="30" xfId="0" applyNumberFormat="1" applyFont="1" applyFill="1" applyBorder="1" applyAlignment="1">
      <alignment vertical="center"/>
    </xf>
    <xf numFmtId="3" fontId="3" fillId="0" borderId="12" xfId="0" applyNumberFormat="1" applyFont="1" applyFill="1" applyBorder="1" applyAlignment="1">
      <alignment vertical="center"/>
    </xf>
    <xf numFmtId="3" fontId="3" fillId="0" borderId="32" xfId="0" applyNumberFormat="1" applyFont="1" applyFill="1" applyBorder="1" applyAlignment="1">
      <alignment vertical="center"/>
    </xf>
    <xf numFmtId="3" fontId="3" fillId="5" borderId="12" xfId="0" applyNumberFormat="1" applyFont="1" applyFill="1" applyBorder="1" applyAlignment="1">
      <alignment vertical="center"/>
    </xf>
    <xf numFmtId="3" fontId="3" fillId="5" borderId="27" xfId="0" applyNumberFormat="1" applyFont="1" applyFill="1" applyBorder="1" applyAlignment="1">
      <alignment vertical="center"/>
    </xf>
    <xf numFmtId="3" fontId="3" fillId="20" borderId="34" xfId="0" applyNumberFormat="1" applyFont="1" applyFill="1" applyBorder="1" applyAlignment="1">
      <alignment vertical="center"/>
    </xf>
    <xf numFmtId="3" fontId="3" fillId="0" borderId="25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/>
    </xf>
    <xf numFmtId="3" fontId="5" fillId="25" borderId="12" xfId="0" applyNumberFormat="1" applyFont="1" applyFill="1" applyBorder="1" applyAlignment="1">
      <alignment vertical="center"/>
    </xf>
    <xf numFmtId="3" fontId="5" fillId="20" borderId="3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0" xfId="0" applyNumberFormat="1" applyFont="1" applyFill="1" applyAlignment="1">
      <alignment horizontal="center" vertical="center"/>
    </xf>
    <xf numFmtId="3" fontId="10" fillId="0" borderId="19" xfId="0" applyNumberFormat="1" applyFont="1" applyFill="1" applyBorder="1" applyAlignment="1">
      <alignment vertical="center"/>
    </xf>
    <xf numFmtId="3" fontId="10" fillId="5" borderId="19" xfId="0" applyNumberFormat="1" applyFont="1" applyFill="1" applyBorder="1" applyAlignment="1">
      <alignment vertical="center"/>
    </xf>
    <xf numFmtId="3" fontId="5" fillId="0" borderId="36" xfId="0" applyNumberFormat="1" applyFont="1" applyFill="1" applyBorder="1" applyAlignment="1">
      <alignment vertical="center"/>
    </xf>
    <xf numFmtId="3" fontId="16" fillId="5" borderId="43" xfId="0" applyNumberFormat="1" applyFont="1" applyFill="1" applyBorder="1" applyAlignment="1">
      <alignment vertical="center"/>
    </xf>
    <xf numFmtId="3" fontId="5" fillId="25" borderId="19" xfId="0" applyNumberFormat="1" applyFont="1" applyFill="1" applyBorder="1" applyAlignment="1">
      <alignment vertical="center"/>
    </xf>
    <xf numFmtId="3" fontId="5" fillId="0" borderId="37" xfId="0" applyNumberFormat="1" applyFont="1" applyFill="1" applyBorder="1" applyAlignment="1">
      <alignment vertical="center"/>
    </xf>
    <xf numFmtId="3" fontId="5" fillId="0" borderId="43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63" xfId="0" applyNumberFormat="1" applyFont="1" applyFill="1" applyBorder="1" applyAlignment="1">
      <alignment vertical="center"/>
    </xf>
    <xf numFmtId="3" fontId="5" fillId="5" borderId="19" xfId="0" applyNumberFormat="1" applyFont="1" applyFill="1" applyBorder="1" applyAlignment="1">
      <alignment vertical="center"/>
    </xf>
    <xf numFmtId="3" fontId="5" fillId="5" borderId="33" xfId="0" applyNumberFormat="1" applyFont="1" applyFill="1" applyBorder="1" applyAlignment="1">
      <alignment vertical="center"/>
    </xf>
    <xf numFmtId="4" fontId="0" fillId="4" borderId="25" xfId="0" applyNumberFormat="1" applyFont="1" applyFill="1" applyBorder="1" applyAlignment="1">
      <alignment wrapText="1"/>
    </xf>
    <xf numFmtId="4" fontId="0" fillId="24" borderId="26" xfId="0" applyNumberFormat="1" applyFont="1" applyFill="1" applyBorder="1" applyAlignment="1">
      <alignment wrapText="1"/>
    </xf>
    <xf numFmtId="3" fontId="10" fillId="0" borderId="36" xfId="0" applyNumberFormat="1" applyFont="1" applyFill="1" applyBorder="1" applyAlignment="1">
      <alignment vertical="center"/>
    </xf>
    <xf numFmtId="3" fontId="17" fillId="5" borderId="43" xfId="0" applyNumberFormat="1" applyFont="1" applyFill="1" applyBorder="1" applyAlignment="1">
      <alignment vertical="center"/>
    </xf>
    <xf numFmtId="3" fontId="10" fillId="0" borderId="37" xfId="0" applyNumberFormat="1" applyFont="1" applyFill="1" applyBorder="1" applyAlignment="1">
      <alignment vertical="center"/>
    </xf>
    <xf numFmtId="3" fontId="10" fillId="0" borderId="43" xfId="0" applyNumberFormat="1" applyFont="1" applyFill="1" applyBorder="1" applyAlignment="1">
      <alignment vertical="center"/>
    </xf>
    <xf numFmtId="3" fontId="5" fillId="25" borderId="43" xfId="0" applyNumberFormat="1" applyFont="1" applyFill="1" applyBorder="1" applyAlignment="1">
      <alignment vertical="center"/>
    </xf>
    <xf numFmtId="3" fontId="10" fillId="0" borderId="63" xfId="0" applyNumberFormat="1" applyFont="1" applyFill="1" applyBorder="1" applyAlignment="1">
      <alignment vertical="center"/>
    </xf>
    <xf numFmtId="3" fontId="10" fillId="5" borderId="33" xfId="0" applyNumberFormat="1" applyFont="1" applyFill="1" applyBorder="1" applyAlignment="1">
      <alignment vertical="center"/>
    </xf>
    <xf numFmtId="3" fontId="10" fillId="0" borderId="26" xfId="0" applyNumberFormat="1" applyFont="1" applyFill="1" applyBorder="1" applyAlignment="1">
      <alignment vertical="center"/>
    </xf>
    <xf numFmtId="3" fontId="17" fillId="5" borderId="30" xfId="0" applyNumberFormat="1" applyFont="1" applyFill="1" applyBorder="1" applyAlignment="1">
      <alignment vertical="center"/>
    </xf>
    <xf numFmtId="3" fontId="10" fillId="0" borderId="15" xfId="0" applyNumberFormat="1" applyFont="1" applyFill="1" applyBorder="1" applyAlignment="1">
      <alignment vertical="center"/>
    </xf>
    <xf numFmtId="3" fontId="10" fillId="0" borderId="30" xfId="0" applyNumberFormat="1" applyFont="1" applyFill="1" applyBorder="1" applyAlignment="1">
      <alignment vertical="center"/>
    </xf>
    <xf numFmtId="3" fontId="5" fillId="25" borderId="30" xfId="0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3" fontId="10" fillId="0" borderId="32" xfId="0" applyNumberFormat="1" applyFont="1" applyFill="1" applyBorder="1" applyAlignment="1">
      <alignment vertical="center"/>
    </xf>
    <xf numFmtId="3" fontId="10" fillId="5" borderId="12" xfId="0" applyNumberFormat="1" applyFont="1" applyFill="1" applyBorder="1" applyAlignment="1">
      <alignment vertical="center"/>
    </xf>
    <xf numFmtId="3" fontId="10" fillId="5" borderId="27" xfId="0" applyNumberFormat="1" applyFont="1" applyFill="1" applyBorder="1" applyAlignment="1">
      <alignment vertical="center"/>
    </xf>
    <xf numFmtId="4" fontId="0" fillId="5" borderId="43" xfId="0" applyNumberFormat="1" applyFill="1" applyBorder="1" applyAlignment="1">
      <alignment vertical="center"/>
    </xf>
    <xf numFmtId="4" fontId="11" fillId="0" borderId="30" xfId="0" applyNumberFormat="1" applyFont="1" applyFill="1" applyBorder="1" applyAlignment="1">
      <alignment vertical="center"/>
    </xf>
    <xf numFmtId="4" fontId="11" fillId="0" borderId="15" xfId="0" applyNumberFormat="1" applyFont="1" applyFill="1" applyBorder="1" applyAlignment="1">
      <alignment vertical="center"/>
    </xf>
    <xf numFmtId="0" fontId="1" fillId="5" borderId="52" xfId="0" applyFont="1" applyFill="1" applyBorder="1" applyAlignment="1">
      <alignment horizontal="center" vertical="center" wrapText="1"/>
    </xf>
    <xf numFmtId="3" fontId="3" fillId="5" borderId="30" xfId="0" applyNumberFormat="1" applyFont="1" applyFill="1" applyBorder="1" applyAlignment="1">
      <alignment vertical="center" wrapText="1"/>
    </xf>
    <xf numFmtId="4" fontId="1" fillId="5" borderId="30" xfId="0" applyNumberFormat="1" applyFont="1" applyFill="1" applyBorder="1" applyAlignment="1">
      <alignment vertical="center" wrapText="1"/>
    </xf>
    <xf numFmtId="4" fontId="0" fillId="5" borderId="64" xfId="0" applyNumberFormat="1" applyFill="1" applyBorder="1" applyAlignment="1">
      <alignment vertical="center"/>
    </xf>
    <xf numFmtId="4" fontId="11" fillId="5" borderId="60" xfId="0" applyNumberFormat="1" applyFont="1" applyFill="1" applyBorder="1" applyAlignment="1">
      <alignment vertical="center"/>
    </xf>
    <xf numFmtId="4" fontId="4" fillId="5" borderId="43" xfId="0" applyNumberFormat="1" applyFont="1" applyFill="1" applyBorder="1" applyAlignment="1">
      <alignment vertical="center"/>
    </xf>
    <xf numFmtId="4" fontId="4" fillId="5" borderId="60" xfId="0" applyNumberFormat="1" applyFont="1" applyFill="1" applyBorder="1" applyAlignment="1">
      <alignment vertical="center"/>
    </xf>
    <xf numFmtId="4" fontId="13" fillId="5" borderId="30" xfId="0" applyNumberFormat="1" applyFont="1" applyFill="1" applyBorder="1" applyAlignment="1">
      <alignment vertical="center" wrapText="1"/>
    </xf>
    <xf numFmtId="4" fontId="0" fillId="20" borderId="10" xfId="0" applyNumberFormat="1" applyFill="1" applyBorder="1" applyAlignment="1">
      <alignment vertical="center"/>
    </xf>
    <xf numFmtId="4" fontId="0" fillId="20" borderId="65" xfId="0" applyNumberFormat="1" applyFill="1" applyBorder="1" applyAlignment="1">
      <alignment vertical="center"/>
    </xf>
    <xf numFmtId="4" fontId="11" fillId="20" borderId="66" xfId="0" applyNumberFormat="1" applyFont="1" applyFill="1" applyBorder="1" applyAlignment="1">
      <alignment vertical="center"/>
    </xf>
    <xf numFmtId="4" fontId="4" fillId="4" borderId="10" xfId="0" applyNumberFormat="1" applyFont="1" applyFill="1" applyBorder="1" applyAlignment="1">
      <alignment vertical="center"/>
    </xf>
    <xf numFmtId="4" fontId="4" fillId="4" borderId="66" xfId="0" applyNumberFormat="1" applyFont="1" applyFill="1" applyBorder="1" applyAlignment="1">
      <alignment vertical="center"/>
    </xf>
    <xf numFmtId="4" fontId="0" fillId="24" borderId="37" xfId="0" applyNumberFormat="1" applyFill="1" applyBorder="1" applyAlignment="1">
      <alignment vertical="center"/>
    </xf>
    <xf numFmtId="0" fontId="1" fillId="5" borderId="20" xfId="0" applyFont="1" applyFill="1" applyBorder="1" applyAlignment="1">
      <alignment vertical="center" wrapText="1"/>
    </xf>
    <xf numFmtId="4" fontId="0" fillId="5" borderId="57" xfId="0" applyNumberFormat="1" applyFill="1" applyBorder="1" applyAlignment="1">
      <alignment vertical="center"/>
    </xf>
    <xf numFmtId="4" fontId="0" fillId="5" borderId="67" xfId="0" applyNumberFormat="1" applyFill="1" applyBorder="1" applyAlignment="1">
      <alignment vertical="center"/>
    </xf>
    <xf numFmtId="4" fontId="11" fillId="5" borderId="68" xfId="0" applyNumberFormat="1" applyFont="1" applyFill="1" applyBorder="1" applyAlignment="1">
      <alignment vertical="center"/>
    </xf>
    <xf numFmtId="4" fontId="4" fillId="5" borderId="57" xfId="0" applyNumberFormat="1" applyFont="1" applyFill="1" applyBorder="1" applyAlignment="1">
      <alignment vertical="center"/>
    </xf>
    <xf numFmtId="4" fontId="4" fillId="5" borderId="68" xfId="0" applyNumberFormat="1" applyFont="1" applyFill="1" applyBorder="1" applyAlignment="1">
      <alignment vertical="center"/>
    </xf>
    <xf numFmtId="4" fontId="0" fillId="5" borderId="63" xfId="0" applyNumberFormat="1" applyFill="1" applyBorder="1" applyAlignment="1">
      <alignment vertical="center"/>
    </xf>
    <xf numFmtId="4" fontId="11" fillId="0" borderId="32" xfId="0" applyNumberFormat="1" applyFont="1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3" fontId="16" fillId="5" borderId="63" xfId="0" applyNumberFormat="1" applyFont="1" applyFill="1" applyBorder="1" applyAlignment="1">
      <alignment vertical="center"/>
    </xf>
    <xf numFmtId="3" fontId="17" fillId="5" borderId="63" xfId="0" applyNumberFormat="1" applyFont="1" applyFill="1" applyBorder="1" applyAlignment="1">
      <alignment vertical="center"/>
    </xf>
    <xf numFmtId="3" fontId="17" fillId="5" borderId="32" xfId="0" applyNumberFormat="1" applyFont="1" applyFill="1" applyBorder="1" applyAlignment="1">
      <alignment vertical="center"/>
    </xf>
    <xf numFmtId="3" fontId="5" fillId="25" borderId="12" xfId="0" applyNumberFormat="1" applyFont="1" applyFill="1" applyBorder="1" applyAlignment="1">
      <alignment vertical="center" wrapText="1"/>
    </xf>
    <xf numFmtId="4" fontId="5" fillId="26" borderId="12" xfId="0" applyNumberFormat="1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4" fontId="9" fillId="3" borderId="12" xfId="0" applyNumberFormat="1" applyFont="1" applyFill="1" applyBorder="1" applyAlignment="1">
      <alignment horizontal="center" vertical="center" wrapText="1"/>
    </xf>
    <xf numFmtId="4" fontId="9" fillId="4" borderId="34" xfId="0" applyNumberFormat="1" applyFont="1" applyFill="1" applyBorder="1" applyAlignment="1">
      <alignment horizontal="center" vertical="center" wrapText="1"/>
    </xf>
    <xf numFmtId="4" fontId="4" fillId="0" borderId="63" xfId="0" applyNumberFormat="1" applyFont="1" applyFill="1" applyBorder="1" applyAlignment="1">
      <alignment vertical="center"/>
    </xf>
    <xf numFmtId="4" fontId="4" fillId="3" borderId="19" xfId="0" applyNumberFormat="1" applyFont="1" applyFill="1" applyBorder="1" applyAlignment="1">
      <alignment vertical="center"/>
    </xf>
    <xf numFmtId="4" fontId="4" fillId="0" borderId="33" xfId="0" applyNumberFormat="1" applyFont="1" applyFill="1" applyBorder="1" applyAlignment="1">
      <alignment vertical="center"/>
    </xf>
    <xf numFmtId="4" fontId="0" fillId="0" borderId="69" xfId="0" applyNumberFormat="1" applyFont="1" applyBorder="1" applyAlignment="1">
      <alignment horizontal="center" vertical="center" wrapText="1"/>
    </xf>
    <xf numFmtId="4" fontId="0" fillId="0" borderId="70" xfId="0" applyNumberFormat="1" applyFont="1" applyBorder="1" applyAlignment="1">
      <alignment horizontal="center" vertical="center" wrapText="1"/>
    </xf>
    <xf numFmtId="4" fontId="0" fillId="0" borderId="71" xfId="0" applyNumberFormat="1" applyFont="1" applyBorder="1" applyAlignment="1">
      <alignment horizontal="center" vertical="center" wrapText="1"/>
    </xf>
    <xf numFmtId="0" fontId="0" fillId="0" borderId="31" xfId="0" applyFont="1" applyFill="1" applyBorder="1" applyAlignment="1">
      <alignment/>
    </xf>
    <xf numFmtId="0" fontId="0" fillId="0" borderId="44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51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72" xfId="0" applyFont="1" applyFill="1" applyBorder="1" applyAlignment="1">
      <alignment/>
    </xf>
    <xf numFmtId="0" fontId="0" fillId="0" borderId="73" xfId="0" applyFont="1" applyFill="1" applyBorder="1" applyAlignment="1">
      <alignment/>
    </xf>
    <xf numFmtId="4" fontId="0" fillId="0" borderId="74" xfId="0" applyNumberFormat="1" applyFont="1" applyBorder="1" applyAlignment="1">
      <alignment horizontal="center" vertical="center" wrapText="1"/>
    </xf>
    <xf numFmtId="4" fontId="0" fillId="0" borderId="49" xfId="0" applyNumberFormat="1" applyFill="1" applyBorder="1" applyAlignment="1">
      <alignment vertical="center"/>
    </xf>
    <xf numFmtId="4" fontId="0" fillId="0" borderId="50" xfId="0" applyNumberFormat="1" applyFill="1" applyBorder="1" applyAlignment="1">
      <alignment vertical="center"/>
    </xf>
    <xf numFmtId="4" fontId="0" fillId="0" borderId="75" xfId="0" applyNumberFormat="1" applyFill="1" applyBorder="1" applyAlignment="1">
      <alignment vertical="center"/>
    </xf>
    <xf numFmtId="4" fontId="0" fillId="0" borderId="44" xfId="0" applyNumberFormat="1" applyFill="1" applyBorder="1" applyAlignment="1">
      <alignment vertical="center"/>
    </xf>
    <xf numFmtId="4" fontId="0" fillId="0" borderId="51" xfId="0" applyNumberFormat="1" applyFill="1" applyBorder="1" applyAlignment="1">
      <alignment vertical="center"/>
    </xf>
    <xf numFmtId="4" fontId="0" fillId="0" borderId="31" xfId="0" applyNumberFormat="1" applyFill="1" applyBorder="1" applyAlignment="1">
      <alignment vertical="center"/>
    </xf>
    <xf numFmtId="4" fontId="0" fillId="0" borderId="22" xfId="0" applyNumberFormat="1" applyFill="1" applyBorder="1" applyAlignment="1">
      <alignment vertical="center"/>
    </xf>
    <xf numFmtId="4" fontId="0" fillId="0" borderId="45" xfId="0" applyNumberFormat="1" applyFill="1" applyBorder="1" applyAlignment="1">
      <alignment vertical="center"/>
    </xf>
    <xf numFmtId="4" fontId="0" fillId="0" borderId="51" xfId="0" applyNumberFormat="1" applyFont="1" applyFill="1" applyBorder="1" applyAlignment="1">
      <alignment/>
    </xf>
    <xf numFmtId="4" fontId="0" fillId="0" borderId="31" xfId="0" applyNumberFormat="1" applyFont="1" applyFill="1" applyBorder="1" applyAlignment="1">
      <alignment/>
    </xf>
    <xf numFmtId="4" fontId="0" fillId="0" borderId="22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4" fontId="0" fillId="0" borderId="72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0" fontId="0" fillId="0" borderId="76" xfId="0" applyFill="1" applyBorder="1" applyAlignment="1">
      <alignment vertical="center"/>
    </xf>
    <xf numFmtId="0" fontId="0" fillId="0" borderId="59" xfId="0" applyFill="1" applyBorder="1" applyAlignment="1">
      <alignment vertical="center"/>
    </xf>
    <xf numFmtId="4" fontId="8" fillId="24" borderId="34" xfId="0" applyNumberFormat="1" applyFont="1" applyFill="1" applyBorder="1" applyAlignment="1">
      <alignment horizontal="center" vertical="center" wrapText="1"/>
    </xf>
    <xf numFmtId="0" fontId="0" fillId="0" borderId="25" xfId="0" applyFill="1" applyBorder="1" applyAlignment="1">
      <alignment vertical="center"/>
    </xf>
    <xf numFmtId="0" fontId="0" fillId="0" borderId="26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4" fontId="0" fillId="0" borderId="10" xfId="0" applyNumberFormat="1" applyFill="1" applyBorder="1" applyAlignment="1">
      <alignment vertical="center"/>
    </xf>
    <xf numFmtId="4" fontId="0" fillId="0" borderId="65" xfId="0" applyNumberFormat="1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4" fontId="0" fillId="0" borderId="16" xfId="0" applyNumberFormat="1" applyFill="1" applyBorder="1" applyAlignment="1">
      <alignment vertical="center"/>
    </xf>
    <xf numFmtId="4" fontId="0" fillId="0" borderId="72" xfId="0" applyNumberFormat="1" applyFill="1" applyBorder="1" applyAlignment="1">
      <alignment vertical="center"/>
    </xf>
    <xf numFmtId="4" fontId="0" fillId="0" borderId="73" xfId="0" applyNumberFormat="1" applyFill="1" applyBorder="1" applyAlignment="1">
      <alignment vertical="center"/>
    </xf>
    <xf numFmtId="4" fontId="0" fillId="0" borderId="17" xfId="0" applyNumberFormat="1" applyFill="1" applyBorder="1" applyAlignment="1">
      <alignment vertical="center"/>
    </xf>
    <xf numFmtId="4" fontId="0" fillId="0" borderId="14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3" fontId="4" fillId="8" borderId="19" xfId="0" applyNumberFormat="1" applyFont="1" applyFill="1" applyBorder="1" applyAlignment="1">
      <alignment horizontal="center" vertical="center" wrapText="1"/>
    </xf>
    <xf numFmtId="3" fontId="4" fillId="8" borderId="12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" fontId="0" fillId="4" borderId="25" xfId="0" applyNumberFormat="1" applyFont="1" applyFill="1" applyBorder="1" applyAlignment="1">
      <alignment wrapText="1"/>
    </xf>
    <xf numFmtId="4" fontId="0" fillId="24" borderId="26" xfId="0" applyNumberFormat="1" applyFont="1" applyFill="1" applyBorder="1" applyAlignment="1">
      <alignment wrapText="1"/>
    </xf>
    <xf numFmtId="4" fontId="4" fillId="0" borderId="32" xfId="0" applyNumberFormat="1" applyFont="1" applyFill="1" applyBorder="1" applyAlignment="1">
      <alignment vertical="center" wrapText="1"/>
    </xf>
    <xf numFmtId="4" fontId="4" fillId="24" borderId="12" xfId="0" applyNumberFormat="1" applyFont="1" applyFill="1" applyBorder="1" applyAlignment="1">
      <alignment vertical="center" wrapText="1"/>
    </xf>
    <xf numFmtId="3" fontId="4" fillId="8" borderId="12" xfId="0" applyNumberFormat="1" applyFont="1" applyFill="1" applyBorder="1" applyAlignment="1">
      <alignment horizontal="center" vertical="center" wrapText="1"/>
    </xf>
    <xf numFmtId="3" fontId="5" fillId="25" borderId="12" xfId="0" applyNumberFormat="1" applyFont="1" applyFill="1" applyBorder="1" applyAlignment="1">
      <alignment vertical="center" wrapText="1"/>
    </xf>
    <xf numFmtId="3" fontId="5" fillId="25" borderId="12" xfId="0" applyNumberFormat="1" applyFont="1" applyFill="1" applyBorder="1" applyAlignment="1">
      <alignment vertical="center"/>
    </xf>
    <xf numFmtId="3" fontId="5" fillId="25" borderId="30" xfId="0" applyNumberFormat="1" applyFont="1" applyFill="1" applyBorder="1" applyAlignment="1">
      <alignment vertical="center"/>
    </xf>
    <xf numFmtId="3" fontId="5" fillId="20" borderId="3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4" fontId="0" fillId="0" borderId="18" xfId="0" applyNumberFormat="1" applyFill="1" applyBorder="1" applyAlignment="1">
      <alignment vertical="center"/>
    </xf>
    <xf numFmtId="0" fontId="0" fillId="0" borderId="77" xfId="0" applyFill="1" applyBorder="1" applyAlignment="1">
      <alignment vertical="center"/>
    </xf>
    <xf numFmtId="4" fontId="0" fillId="0" borderId="78" xfId="0" applyNumberFormat="1" applyFill="1" applyBorder="1" applyAlignment="1">
      <alignment vertical="center"/>
    </xf>
    <xf numFmtId="4" fontId="9" fillId="20" borderId="41" xfId="0" applyNumberFormat="1" applyFont="1" applyFill="1" applyBorder="1" applyAlignment="1">
      <alignment horizontal="center" vertical="center" wrapText="1"/>
    </xf>
    <xf numFmtId="4" fontId="4" fillId="20" borderId="49" xfId="0" applyNumberFormat="1" applyFont="1" applyFill="1" applyBorder="1" applyAlignment="1">
      <alignment vertical="center"/>
    </xf>
    <xf numFmtId="4" fontId="4" fillId="20" borderId="50" xfId="0" applyNumberFormat="1" applyFont="1" applyFill="1" applyBorder="1" applyAlignment="1">
      <alignment vertical="center"/>
    </xf>
    <xf numFmtId="4" fontId="4" fillId="20" borderId="51" xfId="0" applyNumberFormat="1" applyFont="1" applyFill="1" applyBorder="1" applyAlignment="1">
      <alignment vertical="center"/>
    </xf>
    <xf numFmtId="4" fontId="4" fillId="20" borderId="31" xfId="0" applyNumberFormat="1" applyFont="1" applyFill="1" applyBorder="1" applyAlignment="1">
      <alignment vertical="center"/>
    </xf>
    <xf numFmtId="4" fontId="4" fillId="20" borderId="16" xfId="0" applyNumberFormat="1" applyFont="1" applyFill="1" applyBorder="1" applyAlignment="1">
      <alignment vertical="center"/>
    </xf>
    <xf numFmtId="4" fontId="4" fillId="20" borderId="72" xfId="0" applyNumberFormat="1" applyFont="1" applyFill="1" applyBorder="1" applyAlignment="1">
      <alignment vertical="center"/>
    </xf>
    <xf numFmtId="4" fontId="4" fillId="25" borderId="12" xfId="0" applyNumberFormat="1" applyFont="1" applyFill="1" applyBorder="1" applyAlignment="1">
      <alignment vertical="center" wrapText="1"/>
    </xf>
    <xf numFmtId="4" fontId="4" fillId="25" borderId="12" xfId="0" applyNumberFormat="1" applyFont="1" applyFill="1" applyBorder="1" applyAlignment="1">
      <alignment vertical="center"/>
    </xf>
    <xf numFmtId="4" fontId="4" fillId="25" borderId="30" xfId="0" applyNumberFormat="1" applyFont="1" applyFill="1" applyBorder="1" applyAlignment="1">
      <alignment vertical="center"/>
    </xf>
    <xf numFmtId="4" fontId="4" fillId="20" borderId="34" xfId="0" applyNumberFormat="1" applyFont="1" applyFill="1" applyBorder="1" applyAlignment="1">
      <alignment vertical="center"/>
    </xf>
    <xf numFmtId="4" fontId="8" fillId="20" borderId="34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9" fillId="3" borderId="19" xfId="0" applyNumberFormat="1" applyFont="1" applyFill="1" applyBorder="1" applyAlignment="1">
      <alignment horizontal="center" vertical="center" wrapText="1"/>
    </xf>
    <xf numFmtId="3" fontId="17" fillId="5" borderId="63" xfId="0" applyNumberFormat="1" applyFont="1" applyFill="1" applyBorder="1" applyAlignment="1">
      <alignment vertical="center"/>
    </xf>
    <xf numFmtId="3" fontId="17" fillId="5" borderId="43" xfId="0" applyNumberFormat="1" applyFont="1" applyFill="1" applyBorder="1" applyAlignment="1">
      <alignment vertical="center"/>
    </xf>
    <xf numFmtId="3" fontId="10" fillId="5" borderId="63" xfId="0" applyNumberFormat="1" applyFont="1" applyFill="1" applyBorder="1" applyAlignment="1">
      <alignment vertical="center"/>
    </xf>
    <xf numFmtId="3" fontId="4" fillId="8" borderId="19" xfId="0" applyNumberFormat="1" applyFont="1" applyFill="1" applyBorder="1" applyAlignment="1">
      <alignment horizontal="center" vertical="center" wrapText="1"/>
    </xf>
    <xf numFmtId="3" fontId="5" fillId="27" borderId="12" xfId="0" applyNumberFormat="1" applyFont="1" applyFill="1" applyBorder="1" applyAlignment="1">
      <alignment vertical="center" wrapText="1"/>
    </xf>
    <xf numFmtId="4" fontId="4" fillId="27" borderId="12" xfId="0" applyNumberFormat="1" applyFont="1" applyFill="1" applyBorder="1" applyAlignment="1">
      <alignment vertical="center"/>
    </xf>
    <xf numFmtId="3" fontId="5" fillId="27" borderId="12" xfId="0" applyNumberFormat="1" applyFont="1" applyFill="1" applyBorder="1" applyAlignment="1">
      <alignment vertical="center"/>
    </xf>
    <xf numFmtId="3" fontId="5" fillId="27" borderId="30" xfId="0" applyNumberFormat="1" applyFont="1" applyFill="1" applyBorder="1" applyAlignment="1">
      <alignment vertical="center"/>
    </xf>
    <xf numFmtId="3" fontId="5" fillId="27" borderId="12" xfId="0" applyNumberFormat="1" applyFont="1" applyFill="1" applyBorder="1" applyAlignment="1">
      <alignment vertical="center"/>
    </xf>
    <xf numFmtId="3" fontId="5" fillId="27" borderId="32" xfId="0" applyNumberFormat="1" applyFont="1" applyFill="1" applyBorder="1" applyAlignment="1">
      <alignment vertical="center"/>
    </xf>
    <xf numFmtId="3" fontId="5" fillId="27" borderId="27" xfId="0" applyNumberFormat="1" applyFont="1" applyFill="1" applyBorder="1" applyAlignment="1">
      <alignment vertical="center"/>
    </xf>
    <xf numFmtId="4" fontId="9" fillId="24" borderId="19" xfId="0" applyNumberFormat="1" applyFont="1" applyFill="1" applyBorder="1" applyAlignment="1">
      <alignment horizontal="center" vertical="center" wrapText="1"/>
    </xf>
    <xf numFmtId="4" fontId="11" fillId="24" borderId="37" xfId="0" applyNumberFormat="1" applyFont="1" applyFill="1" applyBorder="1" applyAlignment="1">
      <alignment vertical="center"/>
    </xf>
    <xf numFmtId="4" fontId="11" fillId="24" borderId="43" xfId="0" applyNumberFormat="1" applyFont="1" applyFill="1" applyBorder="1" applyAlignment="1">
      <alignment vertical="center"/>
    </xf>
    <xf numFmtId="3" fontId="9" fillId="25" borderId="12" xfId="0" applyNumberFormat="1" applyFont="1" applyFill="1" applyBorder="1" applyAlignment="1">
      <alignment vertical="center" wrapText="1"/>
    </xf>
    <xf numFmtId="4" fontId="11" fillId="5" borderId="63" xfId="0" applyNumberFormat="1" applyFont="1" applyFill="1" applyBorder="1" applyAlignment="1">
      <alignment vertical="center"/>
    </xf>
    <xf numFmtId="4" fontId="11" fillId="5" borderId="43" xfId="0" applyNumberFormat="1" applyFont="1" applyFill="1" applyBorder="1" applyAlignment="1">
      <alignment vertical="center"/>
    </xf>
    <xf numFmtId="4" fontId="11" fillId="24" borderId="36" xfId="0" applyNumberFormat="1" applyFont="1" applyFill="1" applyBorder="1" applyAlignment="1">
      <alignment vertical="center"/>
    </xf>
    <xf numFmtId="4" fontId="9" fillId="24" borderId="19" xfId="0" applyNumberFormat="1" applyFont="1" applyFill="1" applyBorder="1" applyAlignment="1">
      <alignment vertical="center"/>
    </xf>
    <xf numFmtId="4" fontId="9" fillId="24" borderId="33" xfId="0" applyNumberFormat="1" applyFont="1" applyFill="1" applyBorder="1" applyAlignment="1">
      <alignment vertical="center"/>
    </xf>
    <xf numFmtId="4" fontId="9" fillId="24" borderId="19" xfId="0" applyNumberFormat="1" applyFont="1" applyFill="1" applyBorder="1" applyAlignment="1">
      <alignment vertical="center" wrapText="1"/>
    </xf>
    <xf numFmtId="4" fontId="11" fillId="24" borderId="19" xfId="0" applyNumberFormat="1" applyFont="1" applyFill="1" applyBorder="1" applyAlignment="1">
      <alignment vertical="center"/>
    </xf>
    <xf numFmtId="4" fontId="11" fillId="24" borderId="33" xfId="0" applyNumberFormat="1" applyFont="1" applyFill="1" applyBorder="1" applyAlignment="1">
      <alignment vertical="center"/>
    </xf>
    <xf numFmtId="4" fontId="9" fillId="22" borderId="27" xfId="0" applyNumberFormat="1" applyFont="1" applyFill="1" applyBorder="1" applyAlignment="1">
      <alignment horizontal="center" vertical="center" wrapText="1"/>
    </xf>
    <xf numFmtId="4" fontId="9" fillId="0" borderId="37" xfId="0" applyNumberFormat="1" applyFont="1" applyFill="1" applyBorder="1" applyAlignment="1">
      <alignment horizontal="right" wrapText="1"/>
    </xf>
    <xf numFmtId="4" fontId="9" fillId="0" borderId="38" xfId="0" applyNumberFormat="1" applyFont="1" applyFill="1" applyBorder="1" applyAlignment="1">
      <alignment horizontal="right" wrapText="1"/>
    </xf>
    <xf numFmtId="4" fontId="9" fillId="0" borderId="0" xfId="0" applyNumberFormat="1" applyFont="1" applyFill="1" applyBorder="1" applyAlignment="1" quotePrefix="1">
      <alignment horizontal="right"/>
    </xf>
    <xf numFmtId="4" fontId="9" fillId="0" borderId="0" xfId="0" applyNumberFormat="1" applyFont="1" applyFill="1" applyAlignment="1" quotePrefix="1">
      <alignment horizontal="right" vertical="center"/>
    </xf>
    <xf numFmtId="0" fontId="9" fillId="24" borderId="19" xfId="0" applyFont="1" applyFill="1" applyBorder="1" applyAlignment="1">
      <alignment horizontal="center" vertical="center" wrapText="1"/>
    </xf>
    <xf numFmtId="0" fontId="9" fillId="24" borderId="47" xfId="0" applyFont="1" applyFill="1" applyBorder="1" applyAlignment="1">
      <alignment wrapText="1"/>
    </xf>
    <xf numFmtId="4" fontId="9" fillId="0" borderId="0" xfId="0" applyNumberFormat="1" applyFont="1" applyFill="1" applyAlignment="1">
      <alignment/>
    </xf>
    <xf numFmtId="4" fontId="9" fillId="0" borderId="63" xfId="0" applyNumberFormat="1" applyFont="1" applyFill="1" applyBorder="1" applyAlignment="1">
      <alignment vertical="center"/>
    </xf>
    <xf numFmtId="4" fontId="9" fillId="3" borderId="19" xfId="0" applyNumberFormat="1" applyFont="1" applyFill="1" applyBorder="1" applyAlignment="1">
      <alignment vertical="center"/>
    </xf>
    <xf numFmtId="4" fontId="9" fillId="0" borderId="33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4" fontId="4" fillId="25" borderId="62" xfId="0" applyNumberFormat="1" applyFont="1" applyFill="1" applyBorder="1" applyAlignment="1">
      <alignment vertical="center" wrapText="1"/>
    </xf>
    <xf numFmtId="4" fontId="4" fillId="25" borderId="62" xfId="0" applyNumberFormat="1" applyFont="1" applyFill="1" applyBorder="1" applyAlignment="1">
      <alignment vertical="center"/>
    </xf>
    <xf numFmtId="4" fontId="9" fillId="25" borderId="26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center" vertical="center"/>
    </xf>
    <xf numFmtId="4" fontId="4" fillId="25" borderId="60" xfId="0" applyNumberFormat="1" applyFont="1" applyFill="1" applyBorder="1" applyAlignment="1">
      <alignment vertical="center"/>
    </xf>
    <xf numFmtId="4" fontId="8" fillId="20" borderId="41" xfId="0" applyNumberFormat="1" applyFont="1" applyFill="1" applyBorder="1" applyAlignment="1">
      <alignment vertical="center"/>
    </xf>
    <xf numFmtId="4" fontId="4" fillId="20" borderId="44" xfId="0" applyNumberFormat="1" applyFont="1" applyFill="1" applyBorder="1" applyAlignment="1">
      <alignment vertical="center"/>
    </xf>
    <xf numFmtId="4" fontId="4" fillId="20" borderId="45" xfId="0" applyNumberFormat="1" applyFont="1" applyFill="1" applyBorder="1" applyAlignment="1">
      <alignment vertical="center"/>
    </xf>
    <xf numFmtId="4" fontId="4" fillId="20" borderId="73" xfId="0" applyNumberFormat="1" applyFont="1" applyFill="1" applyBorder="1" applyAlignment="1">
      <alignment vertical="center"/>
    </xf>
    <xf numFmtId="4" fontId="4" fillId="20" borderId="12" xfId="0" applyNumberFormat="1" applyFont="1" applyFill="1" applyBorder="1" applyAlignment="1">
      <alignment vertical="center"/>
    </xf>
    <xf numFmtId="4" fontId="4" fillId="25" borderId="19" xfId="0" applyNumberFormat="1" applyFont="1" applyFill="1" applyBorder="1" applyAlignment="1">
      <alignment vertical="center" wrapText="1"/>
    </xf>
    <xf numFmtId="4" fontId="4" fillId="25" borderId="19" xfId="0" applyNumberFormat="1" applyFont="1" applyFill="1" applyBorder="1" applyAlignment="1">
      <alignment vertical="center"/>
    </xf>
    <xf numFmtId="4" fontId="4" fillId="25" borderId="43" xfId="0" applyNumberFormat="1" applyFont="1" applyFill="1" applyBorder="1" applyAlignment="1">
      <alignment vertical="center"/>
    </xf>
    <xf numFmtId="4" fontId="4" fillId="20" borderId="35" xfId="0" applyNumberFormat="1" applyFont="1" applyFill="1" applyBorder="1" applyAlignment="1">
      <alignment vertical="center"/>
    </xf>
    <xf numFmtId="4" fontId="4" fillId="0" borderId="42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4" fontId="4" fillId="0" borderId="38" xfId="0" applyNumberFormat="1" applyFont="1" applyFill="1" applyBorder="1" applyAlignment="1">
      <alignment/>
    </xf>
    <xf numFmtId="4" fontId="0" fillId="4" borderId="42" xfId="0" applyNumberFormat="1" applyFont="1" applyFill="1" applyBorder="1" applyAlignment="1">
      <alignment wrapText="1"/>
    </xf>
    <xf numFmtId="4" fontId="0" fillId="24" borderId="36" xfId="0" applyNumberFormat="1" applyFont="1" applyFill="1" applyBorder="1" applyAlignment="1">
      <alignment wrapText="1"/>
    </xf>
    <xf numFmtId="4" fontId="4" fillId="0" borderId="63" xfId="0" applyNumberFormat="1" applyFont="1" applyFill="1" applyBorder="1" applyAlignment="1">
      <alignment vertical="center" wrapText="1"/>
    </xf>
    <xf numFmtId="4" fontId="4" fillId="24" borderId="19" xfId="0" applyNumberFormat="1" applyFont="1" applyFill="1" applyBorder="1" applyAlignment="1">
      <alignment vertical="center" wrapText="1"/>
    </xf>
    <xf numFmtId="4" fontId="0" fillId="4" borderId="79" xfId="0" applyNumberFormat="1" applyFont="1" applyFill="1" applyBorder="1" applyAlignment="1">
      <alignment wrapText="1"/>
    </xf>
    <xf numFmtId="4" fontId="0" fillId="24" borderId="80" xfId="0" applyNumberFormat="1" applyFont="1" applyFill="1" applyBorder="1" applyAlignment="1">
      <alignment wrapText="1"/>
    </xf>
    <xf numFmtId="4" fontId="4" fillId="0" borderId="61" xfId="0" applyNumberFormat="1" applyFont="1" applyFill="1" applyBorder="1" applyAlignment="1">
      <alignment vertical="center" wrapText="1"/>
    </xf>
    <xf numFmtId="4" fontId="4" fillId="24" borderId="62" xfId="0" applyNumberFormat="1" applyFont="1" applyFill="1" applyBorder="1" applyAlignment="1">
      <alignment vertical="center" wrapText="1"/>
    </xf>
    <xf numFmtId="4" fontId="0" fillId="0" borderId="63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61" xfId="0" applyNumberFormat="1" applyFont="1" applyFill="1" applyBorder="1" applyAlignment="1">
      <alignment/>
    </xf>
    <xf numFmtId="4" fontId="0" fillId="0" borderId="66" xfId="0" applyNumberFormat="1" applyFill="1" applyBorder="1" applyAlignment="1">
      <alignment vertical="center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54" xfId="0" applyNumberFormat="1" applyFont="1" applyBorder="1" applyAlignment="1">
      <alignment horizontal="center" vertical="center" wrapText="1"/>
    </xf>
    <xf numFmtId="4" fontId="0" fillId="0" borderId="47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20" borderId="69" xfId="0" applyNumberFormat="1" applyFont="1" applyFill="1" applyBorder="1" applyAlignment="1">
      <alignment horizontal="center" vertical="center" wrapText="1"/>
    </xf>
    <xf numFmtId="4" fontId="0" fillId="20" borderId="70" xfId="0" applyNumberFormat="1" applyFont="1" applyFill="1" applyBorder="1" applyAlignment="1">
      <alignment horizontal="center" vertical="center" wrapText="1"/>
    </xf>
    <xf numFmtId="4" fontId="0" fillId="20" borderId="74" xfId="0" applyNumberFormat="1" applyFont="1" applyFill="1" applyBorder="1" applyAlignment="1">
      <alignment horizontal="center" vertical="center" wrapText="1"/>
    </xf>
    <xf numFmtId="4" fontId="0" fillId="20" borderId="75" xfId="0" applyNumberFormat="1" applyFill="1" applyBorder="1" applyAlignment="1">
      <alignment vertical="center"/>
    </xf>
    <xf numFmtId="4" fontId="0" fillId="20" borderId="22" xfId="0" applyNumberFormat="1" applyFill="1" applyBorder="1" applyAlignment="1">
      <alignment vertical="center"/>
    </xf>
    <xf numFmtId="4" fontId="4" fillId="20" borderId="12" xfId="0" applyNumberFormat="1" applyFont="1" applyFill="1" applyBorder="1" applyAlignment="1">
      <alignment vertical="center" wrapText="1"/>
    </xf>
    <xf numFmtId="4" fontId="4" fillId="20" borderId="19" xfId="0" applyNumberFormat="1" applyFont="1" applyFill="1" applyBorder="1" applyAlignment="1">
      <alignment vertical="center" wrapText="1"/>
    </xf>
    <xf numFmtId="4" fontId="4" fillId="20" borderId="19" xfId="0" applyNumberFormat="1" applyFont="1" applyFill="1" applyBorder="1" applyAlignment="1">
      <alignment vertical="center"/>
    </xf>
    <xf numFmtId="4" fontId="4" fillId="20" borderId="30" xfId="0" applyNumberFormat="1" applyFont="1" applyFill="1" applyBorder="1" applyAlignment="1">
      <alignment vertical="center"/>
    </xf>
    <xf numFmtId="4" fontId="4" fillId="20" borderId="43" xfId="0" applyNumberFormat="1" applyFont="1" applyFill="1" applyBorder="1" applyAlignment="1">
      <alignment vertical="center"/>
    </xf>
    <xf numFmtId="4" fontId="0" fillId="20" borderId="16" xfId="0" applyNumberFormat="1" applyFill="1" applyBorder="1" applyAlignment="1">
      <alignment vertical="center"/>
    </xf>
    <xf numFmtId="4" fontId="0" fillId="20" borderId="72" xfId="0" applyNumberFormat="1" applyFill="1" applyBorder="1" applyAlignment="1">
      <alignment vertical="center"/>
    </xf>
    <xf numFmtId="4" fontId="0" fillId="20" borderId="17" xfId="0" applyNumberFormat="1" applyFill="1" applyBorder="1" applyAlignment="1">
      <alignment vertical="center"/>
    </xf>
    <xf numFmtId="4" fontId="0" fillId="20" borderId="57" xfId="0" applyNumberFormat="1" applyFill="1" applyBorder="1" applyAlignment="1">
      <alignment vertical="center"/>
    </xf>
    <xf numFmtId="4" fontId="0" fillId="20" borderId="67" xfId="0" applyNumberFormat="1" applyFill="1" applyBorder="1" applyAlignment="1">
      <alignment vertical="center"/>
    </xf>
    <xf numFmtId="4" fontId="4" fillId="20" borderId="11" xfId="0" applyNumberFormat="1" applyFont="1" applyFill="1" applyBorder="1" applyAlignment="1">
      <alignment horizontal="center" vertical="center" wrapText="1"/>
    </xf>
    <xf numFmtId="4" fontId="4" fillId="20" borderId="54" xfId="0" applyNumberFormat="1" applyFont="1" applyFill="1" applyBorder="1" applyAlignment="1">
      <alignment horizontal="center" vertical="center" wrapText="1"/>
    </xf>
    <xf numFmtId="4" fontId="0" fillId="20" borderId="14" xfId="0" applyNumberFormat="1" applyFill="1" applyBorder="1" applyAlignment="1">
      <alignment vertical="center"/>
    </xf>
    <xf numFmtId="4" fontId="0" fillId="20" borderId="21" xfId="0" applyNumberForma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vertical="center"/>
    </xf>
    <xf numFmtId="0" fontId="11" fillId="0" borderId="0" xfId="0" applyFont="1" applyFill="1" applyAlignment="1">
      <alignment horizontal="center" vertical="center"/>
    </xf>
    <xf numFmtId="3" fontId="9" fillId="0" borderId="36" xfId="0" applyNumberFormat="1" applyFont="1" applyFill="1" applyBorder="1" applyAlignment="1">
      <alignment vertical="center"/>
    </xf>
    <xf numFmtId="4" fontId="9" fillId="0" borderId="36" xfId="0" applyNumberFormat="1" applyFont="1" applyFill="1" applyBorder="1" applyAlignment="1">
      <alignment vertical="center"/>
    </xf>
    <xf numFmtId="4" fontId="9" fillId="25" borderId="36" xfId="0" applyNumberFormat="1" applyFont="1" applyFill="1" applyBorder="1" applyAlignment="1">
      <alignment vertical="center"/>
    </xf>
    <xf numFmtId="4" fontId="9" fillId="10" borderId="36" xfId="0" applyNumberFormat="1" applyFont="1" applyFill="1" applyBorder="1" applyAlignment="1">
      <alignment vertical="center"/>
    </xf>
    <xf numFmtId="0" fontId="9" fillId="0" borderId="36" xfId="0" applyFont="1" applyFill="1" applyBorder="1" applyAlignment="1">
      <alignment vertical="center"/>
    </xf>
    <xf numFmtId="4" fontId="9" fillId="0" borderId="38" xfId="0" applyNumberFormat="1" applyFont="1" applyFill="1" applyBorder="1" applyAlignment="1">
      <alignment vertical="center"/>
    </xf>
    <xf numFmtId="4" fontId="8" fillId="25" borderId="12" xfId="0" applyNumberFormat="1" applyFont="1" applyFill="1" applyBorder="1" applyAlignment="1">
      <alignment vertical="center" wrapText="1"/>
    </xf>
    <xf numFmtId="3" fontId="18" fillId="0" borderId="26" xfId="0" applyNumberFormat="1" applyFont="1" applyFill="1" applyBorder="1" applyAlignment="1">
      <alignment vertical="center"/>
    </xf>
    <xf numFmtId="3" fontId="18" fillId="0" borderId="36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right" wrapText="1"/>
    </xf>
    <xf numFmtId="4" fontId="4" fillId="25" borderId="81" xfId="0" applyNumberFormat="1" applyFont="1" applyFill="1" applyBorder="1" applyAlignment="1">
      <alignment vertical="center" wrapText="1"/>
    </xf>
    <xf numFmtId="4" fontId="4" fillId="25" borderId="81" xfId="0" applyNumberFormat="1" applyFont="1" applyFill="1" applyBorder="1" applyAlignment="1">
      <alignment vertical="center"/>
    </xf>
    <xf numFmtId="4" fontId="4" fillId="25" borderId="64" xfId="0" applyNumberFormat="1" applyFont="1" applyFill="1" applyBorder="1" applyAlignment="1">
      <alignment vertical="center"/>
    </xf>
    <xf numFmtId="4" fontId="4" fillId="20" borderId="47" xfId="0" applyNumberFormat="1" applyFont="1" applyFill="1" applyBorder="1" applyAlignment="1">
      <alignment horizontal="center" vertical="center" wrapText="1"/>
    </xf>
    <xf numFmtId="4" fontId="0" fillId="20" borderId="66" xfId="0" applyNumberFormat="1" applyFill="1" applyBorder="1" applyAlignment="1">
      <alignment vertical="center"/>
    </xf>
    <xf numFmtId="4" fontId="0" fillId="20" borderId="68" xfId="0" applyNumberFormat="1" applyFill="1" applyBorder="1" applyAlignment="1">
      <alignment vertical="center"/>
    </xf>
    <xf numFmtId="4" fontId="0" fillId="0" borderId="79" xfId="0" applyNumberFormat="1" applyFill="1" applyBorder="1" applyAlignment="1">
      <alignment vertical="center"/>
    </xf>
    <xf numFmtId="4" fontId="0" fillId="0" borderId="80" xfId="0" applyNumberFormat="1" applyFill="1" applyBorder="1" applyAlignment="1">
      <alignment vertical="center"/>
    </xf>
    <xf numFmtId="4" fontId="0" fillId="0" borderId="24" xfId="0" applyNumberFormat="1" applyFill="1" applyBorder="1" applyAlignment="1">
      <alignment vertical="center"/>
    </xf>
    <xf numFmtId="0" fontId="9" fillId="0" borderId="35" xfId="0" applyFont="1" applyFill="1" applyBorder="1" applyAlignment="1">
      <alignment horizontal="center" vertical="center" wrapText="1"/>
    </xf>
    <xf numFmtId="4" fontId="11" fillId="0" borderId="42" xfId="0" applyNumberFormat="1" applyFont="1" applyFill="1" applyBorder="1" applyAlignment="1">
      <alignment vertical="center"/>
    </xf>
    <xf numFmtId="4" fontId="11" fillId="0" borderId="36" xfId="0" applyNumberFormat="1" applyFont="1" applyFill="1" applyBorder="1" applyAlignment="1">
      <alignment vertical="center"/>
    </xf>
    <xf numFmtId="0" fontId="11" fillId="0" borderId="36" xfId="0" applyFont="1" applyFill="1" applyBorder="1" applyAlignment="1">
      <alignment vertical="center"/>
    </xf>
    <xf numFmtId="3" fontId="5" fillId="27" borderId="34" xfId="0" applyNumberFormat="1" applyFont="1" applyFill="1" applyBorder="1" applyAlignment="1">
      <alignment vertical="center" wrapText="1"/>
    </xf>
    <xf numFmtId="3" fontId="5" fillId="25" borderId="34" xfId="0" applyNumberFormat="1" applyFont="1" applyFill="1" applyBorder="1" applyAlignment="1">
      <alignment vertical="center" wrapText="1"/>
    </xf>
    <xf numFmtId="3" fontId="16" fillId="5" borderId="35" xfId="0" applyNumberFormat="1" applyFont="1" applyFill="1" applyBorder="1" applyAlignment="1">
      <alignment vertical="center"/>
    </xf>
    <xf numFmtId="3" fontId="17" fillId="5" borderId="35" xfId="0" applyNumberFormat="1" applyFont="1" applyFill="1" applyBorder="1" applyAlignment="1">
      <alignment vertical="center"/>
    </xf>
    <xf numFmtId="3" fontId="17" fillId="5" borderId="25" xfId="0" applyNumberFormat="1" applyFont="1" applyFill="1" applyBorder="1" applyAlignment="1">
      <alignment vertical="center"/>
    </xf>
    <xf numFmtId="3" fontId="16" fillId="5" borderId="38" xfId="0" applyNumberFormat="1" applyFont="1" applyFill="1" applyBorder="1" applyAlignment="1">
      <alignment vertical="center"/>
    </xf>
    <xf numFmtId="3" fontId="17" fillId="5" borderId="38" xfId="0" applyNumberFormat="1" applyFont="1" applyFill="1" applyBorder="1" applyAlignment="1">
      <alignment vertical="center"/>
    </xf>
    <xf numFmtId="3" fontId="17" fillId="5" borderId="27" xfId="0" applyNumberFormat="1" applyFont="1" applyFill="1" applyBorder="1" applyAlignment="1">
      <alignment vertical="center"/>
    </xf>
    <xf numFmtId="4" fontId="9" fillId="20" borderId="34" xfId="0" applyNumberFormat="1" applyFont="1" applyFill="1" applyBorder="1" applyAlignment="1">
      <alignment vertical="center"/>
    </xf>
    <xf numFmtId="4" fontId="9" fillId="0" borderId="25" xfId="0" applyNumberFormat="1" applyFont="1" applyFill="1" applyBorder="1" applyAlignment="1">
      <alignment/>
    </xf>
    <xf numFmtId="4" fontId="0" fillId="0" borderId="81" xfId="0" applyNumberFormat="1" applyFont="1" applyBorder="1" applyAlignment="1">
      <alignment horizontal="center" vertical="center" wrapText="1"/>
    </xf>
    <xf numFmtId="4" fontId="0" fillId="0" borderId="82" xfId="0" applyNumberFormat="1" applyFill="1" applyBorder="1" applyAlignment="1">
      <alignment vertical="center"/>
    </xf>
    <xf numFmtId="4" fontId="4" fillId="20" borderId="41" xfId="0" applyNumberFormat="1" applyFont="1" applyFill="1" applyBorder="1" applyAlignment="1">
      <alignment vertical="center"/>
    </xf>
    <xf numFmtId="4" fontId="4" fillId="0" borderId="79" xfId="0" applyNumberFormat="1" applyFont="1" applyFill="1" applyBorder="1" applyAlignment="1">
      <alignment/>
    </xf>
    <xf numFmtId="4" fontId="4" fillId="0" borderId="24" xfId="0" applyNumberFormat="1" applyFont="1" applyFill="1" applyBorder="1" applyAlignment="1">
      <alignment/>
    </xf>
    <xf numFmtId="4" fontId="0" fillId="0" borderId="32" xfId="0" applyNumberFormat="1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" fontId="9" fillId="22" borderId="36" xfId="0" applyNumberFormat="1" applyFont="1" applyFill="1" applyBorder="1" applyAlignment="1">
      <alignment vertical="center"/>
    </xf>
    <xf numFmtId="14" fontId="4" fillId="0" borderId="0" xfId="0" applyNumberFormat="1" applyFont="1" applyFill="1" applyAlignment="1">
      <alignment/>
    </xf>
    <xf numFmtId="4" fontId="18" fillId="0" borderId="25" xfId="0" applyNumberFormat="1" applyFont="1" applyFill="1" applyBorder="1" applyAlignment="1">
      <alignment vertical="center"/>
    </xf>
    <xf numFmtId="4" fontId="18" fillId="0" borderId="26" xfId="0" applyNumberFormat="1" applyFont="1" applyFill="1" applyBorder="1" applyAlignment="1">
      <alignment vertical="center"/>
    </xf>
    <xf numFmtId="4" fontId="9" fillId="10" borderId="38" xfId="0" applyNumberFormat="1" applyFont="1" applyFill="1" applyBorder="1" applyAlignment="1">
      <alignment vertical="center"/>
    </xf>
    <xf numFmtId="4" fontId="18" fillId="4" borderId="25" xfId="0" applyNumberFormat="1" applyFont="1" applyFill="1" applyBorder="1" applyAlignment="1">
      <alignment wrapText="1"/>
    </xf>
    <xf numFmtId="4" fontId="18" fillId="24" borderId="26" xfId="0" applyNumberFormat="1" applyFont="1" applyFill="1" applyBorder="1" applyAlignment="1">
      <alignment wrapText="1"/>
    </xf>
    <xf numFmtId="4" fontId="8" fillId="0" borderId="32" xfId="0" applyNumberFormat="1" applyFont="1" applyFill="1" applyBorder="1" applyAlignment="1">
      <alignment vertical="center" wrapText="1"/>
    </xf>
    <xf numFmtId="4" fontId="8" fillId="24" borderId="12" xfId="0" applyNumberFormat="1" applyFont="1" applyFill="1" applyBorder="1" applyAlignment="1">
      <alignment vertical="center" wrapText="1"/>
    </xf>
    <xf numFmtId="3" fontId="18" fillId="0" borderId="0" xfId="0" applyNumberFormat="1" applyFont="1" applyFill="1" applyAlignment="1">
      <alignment/>
    </xf>
    <xf numFmtId="3" fontId="18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 vertical="center"/>
    </xf>
    <xf numFmtId="3" fontId="18" fillId="0" borderId="0" xfId="0" applyNumberFormat="1" applyFont="1" applyFill="1" applyAlignment="1">
      <alignment horizontal="center" vertical="center"/>
    </xf>
    <xf numFmtId="4" fontId="0" fillId="0" borderId="45" xfId="0" applyNumberFormat="1" applyFont="1" applyFill="1" applyBorder="1" applyAlignment="1">
      <alignment/>
    </xf>
    <xf numFmtId="0" fontId="9" fillId="0" borderId="14" xfId="0" applyFont="1" applyFill="1" applyBorder="1" applyAlignment="1">
      <alignment horizontal="right" wrapText="1"/>
    </xf>
    <xf numFmtId="4" fontId="4" fillId="20" borderId="69" xfId="0" applyNumberFormat="1" applyFont="1" applyFill="1" applyBorder="1" applyAlignment="1">
      <alignment horizontal="center" vertical="center" wrapText="1"/>
    </xf>
    <xf numFmtId="4" fontId="4" fillId="20" borderId="70" xfId="0" applyNumberFormat="1" applyFont="1" applyFill="1" applyBorder="1" applyAlignment="1">
      <alignment horizontal="center" vertical="center" wrapText="1"/>
    </xf>
    <xf numFmtId="4" fontId="4" fillId="20" borderId="71" xfId="0" applyNumberFormat="1" applyFont="1" applyFill="1" applyBorder="1" applyAlignment="1">
      <alignment horizontal="center" vertical="center" wrapText="1"/>
    </xf>
    <xf numFmtId="4" fontId="8" fillId="4" borderId="40" xfId="0" applyNumberFormat="1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3" fontId="4" fillId="20" borderId="37" xfId="0" applyNumberFormat="1" applyFont="1" applyFill="1" applyBorder="1" applyAlignment="1">
      <alignment vertical="center"/>
    </xf>
    <xf numFmtId="3" fontId="4" fillId="20" borderId="33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 horizontal="center" vertical="center" wrapText="1"/>
    </xf>
    <xf numFmtId="3" fontId="8" fillId="25" borderId="26" xfId="0" applyNumberFormat="1" applyFont="1" applyFill="1" applyBorder="1" applyAlignment="1">
      <alignment vertical="center"/>
    </xf>
    <xf numFmtId="3" fontId="18" fillId="0" borderId="18" xfId="0" applyNumberFormat="1" applyFont="1" applyFill="1" applyBorder="1" applyAlignment="1">
      <alignment vertical="center"/>
    </xf>
    <xf numFmtId="3" fontId="4" fillId="25" borderId="12" xfId="0" applyNumberFormat="1" applyFont="1" applyFill="1" applyBorder="1" applyAlignment="1">
      <alignment vertical="center"/>
    </xf>
    <xf numFmtId="3" fontId="18" fillId="4" borderId="25" xfId="0" applyNumberFormat="1" applyFont="1" applyFill="1" applyBorder="1" applyAlignment="1">
      <alignment wrapText="1"/>
    </xf>
    <xf numFmtId="3" fontId="18" fillId="24" borderId="26" xfId="0" applyNumberFormat="1" applyFont="1" applyFill="1" applyBorder="1" applyAlignment="1">
      <alignment wrapText="1"/>
    </xf>
    <xf numFmtId="3" fontId="8" fillId="0" borderId="32" xfId="0" applyNumberFormat="1" applyFont="1" applyFill="1" applyBorder="1" applyAlignment="1">
      <alignment vertical="center" wrapText="1"/>
    </xf>
    <xf numFmtId="3" fontId="8" fillId="24" borderId="12" xfId="0" applyNumberFormat="1" applyFont="1" applyFill="1" applyBorder="1" applyAlignment="1">
      <alignment vertical="center" wrapText="1"/>
    </xf>
    <xf numFmtId="14" fontId="8" fillId="0" borderId="0" xfId="0" applyNumberFormat="1" applyFont="1" applyFill="1" applyAlignment="1">
      <alignment/>
    </xf>
    <xf numFmtId="0" fontId="11" fillId="0" borderId="25" xfId="0" applyFont="1" applyFill="1" applyBorder="1" applyAlignment="1">
      <alignment horizontal="center" vertical="center" wrapText="1"/>
    </xf>
    <xf numFmtId="3" fontId="10" fillId="0" borderId="0" xfId="0" applyNumberFormat="1" applyFont="1" applyFill="1" applyAlignment="1">
      <alignment horizontal="left" vertical="center"/>
    </xf>
    <xf numFmtId="3" fontId="8" fillId="25" borderId="36" xfId="0" applyNumberFormat="1" applyFont="1" applyFill="1" applyBorder="1" applyAlignment="1">
      <alignment vertical="center"/>
    </xf>
    <xf numFmtId="3" fontId="18" fillId="0" borderId="38" xfId="0" applyNumberFormat="1" applyFont="1" applyFill="1" applyBorder="1" applyAlignment="1">
      <alignment vertical="center"/>
    </xf>
    <xf numFmtId="4" fontId="3" fillId="20" borderId="32" xfId="0" applyNumberFormat="1" applyFont="1" applyFill="1" applyBorder="1" applyAlignment="1">
      <alignment vertical="center"/>
    </xf>
    <xf numFmtId="3" fontId="3" fillId="0" borderId="34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vertical="center"/>
    </xf>
    <xf numFmtId="4" fontId="3" fillId="25" borderId="12" xfId="0" applyNumberFormat="1" applyFont="1" applyFill="1" applyBorder="1" applyAlignment="1">
      <alignment vertical="center"/>
    </xf>
    <xf numFmtId="4" fontId="3" fillId="25" borderId="30" xfId="0" applyNumberFormat="1" applyFont="1" applyFill="1" applyBorder="1" applyAlignment="1">
      <alignment vertical="center"/>
    </xf>
    <xf numFmtId="4" fontId="3" fillId="25" borderId="12" xfId="0" applyNumberFormat="1" applyFont="1" applyFill="1" applyBorder="1" applyAlignment="1">
      <alignment vertical="center"/>
    </xf>
    <xf numFmtId="3" fontId="3" fillId="25" borderId="12" xfId="0" applyNumberFormat="1" applyFont="1" applyFill="1" applyBorder="1" applyAlignment="1">
      <alignment vertical="center"/>
    </xf>
    <xf numFmtId="3" fontId="3" fillId="25" borderId="30" xfId="0" applyNumberFormat="1" applyFont="1" applyFill="1" applyBorder="1" applyAlignment="1">
      <alignment vertical="center"/>
    </xf>
    <xf numFmtId="3" fontId="3" fillId="20" borderId="32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18" fillId="0" borderId="33" xfId="0" applyNumberFormat="1" applyFont="1" applyFill="1" applyBorder="1" applyAlignment="1">
      <alignment vertical="center"/>
    </xf>
    <xf numFmtId="4" fontId="9" fillId="20" borderId="32" xfId="0" applyNumberFormat="1" applyFont="1" applyFill="1" applyBorder="1" applyAlignment="1">
      <alignment vertical="center"/>
    </xf>
    <xf numFmtId="3" fontId="11" fillId="4" borderId="25" xfId="0" applyNumberFormat="1" applyFont="1" applyFill="1" applyBorder="1" applyAlignment="1">
      <alignment wrapText="1"/>
    </xf>
    <xf numFmtId="3" fontId="11" fillId="24" borderId="26" xfId="0" applyNumberFormat="1" applyFont="1" applyFill="1" applyBorder="1" applyAlignment="1">
      <alignment wrapText="1"/>
    </xf>
    <xf numFmtId="3" fontId="9" fillId="0" borderId="32" xfId="0" applyNumberFormat="1" applyFont="1" applyFill="1" applyBorder="1" applyAlignment="1">
      <alignment vertical="center" wrapText="1"/>
    </xf>
    <xf numFmtId="3" fontId="9" fillId="24" borderId="12" xfId="0" applyNumberFormat="1" applyFont="1" applyFill="1" applyBorder="1" applyAlignment="1">
      <alignment vertical="center" wrapText="1"/>
    </xf>
    <xf numFmtId="3" fontId="18" fillId="0" borderId="37" xfId="0" applyNumberFormat="1" applyFont="1" applyFill="1" applyBorder="1" applyAlignment="1">
      <alignment vertical="center"/>
    </xf>
    <xf numFmtId="3" fontId="18" fillId="0" borderId="43" xfId="0" applyNumberFormat="1" applyFont="1" applyFill="1" applyBorder="1" applyAlignment="1">
      <alignment vertical="center"/>
    </xf>
    <xf numFmtId="3" fontId="18" fillId="0" borderId="63" xfId="0" applyNumberFormat="1" applyFont="1" applyFill="1" applyBorder="1" applyAlignment="1">
      <alignment vertical="center"/>
    </xf>
    <xf numFmtId="4" fontId="4" fillId="3" borderId="19" xfId="0" applyNumberFormat="1" applyFont="1" applyFill="1" applyBorder="1" applyAlignment="1">
      <alignment vertical="center"/>
    </xf>
    <xf numFmtId="3" fontId="18" fillId="3" borderId="37" xfId="0" applyNumberFormat="1" applyFont="1" applyFill="1" applyBorder="1" applyAlignment="1">
      <alignment vertical="center"/>
    </xf>
    <xf numFmtId="3" fontId="18" fillId="3" borderId="36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30" xfId="0" applyNumberFormat="1" applyFont="1" applyFill="1" applyBorder="1" applyAlignment="1">
      <alignment vertical="center"/>
    </xf>
    <xf numFmtId="3" fontId="4" fillId="25" borderId="12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5" borderId="12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25" borderId="30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3" fontId="4" fillId="0" borderId="32" xfId="0" applyNumberFormat="1" applyFont="1" applyFill="1" applyBorder="1" applyAlignment="1">
      <alignment vertical="center"/>
    </xf>
    <xf numFmtId="3" fontId="4" fillId="20" borderId="32" xfId="0" applyNumberFormat="1" applyFont="1" applyFill="1" applyBorder="1" applyAlignment="1">
      <alignment vertical="center"/>
    </xf>
    <xf numFmtId="3" fontId="4" fillId="0" borderId="25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3" fontId="0" fillId="4" borderId="25" xfId="0" applyNumberFormat="1" applyFont="1" applyFill="1" applyBorder="1" applyAlignment="1">
      <alignment wrapText="1"/>
    </xf>
    <xf numFmtId="3" fontId="0" fillId="24" borderId="26" xfId="0" applyNumberFormat="1" applyFont="1" applyFill="1" applyBorder="1" applyAlignment="1">
      <alignment wrapText="1"/>
    </xf>
    <xf numFmtId="3" fontId="4" fillId="0" borderId="32" xfId="0" applyNumberFormat="1" applyFont="1" applyFill="1" applyBorder="1" applyAlignment="1">
      <alignment vertical="center" wrapText="1"/>
    </xf>
    <xf numFmtId="3" fontId="4" fillId="24" borderId="12" xfId="0" applyNumberFormat="1" applyFont="1" applyFill="1" applyBorder="1" applyAlignment="1">
      <alignment vertical="center" wrapText="1"/>
    </xf>
    <xf numFmtId="3" fontId="4" fillId="0" borderId="0" xfId="0" applyNumberFormat="1" applyFont="1" applyFill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36" fillId="0" borderId="12" xfId="0" applyNumberFormat="1" applyFont="1" applyFill="1" applyBorder="1" applyAlignment="1">
      <alignment horizontal="center" vertical="center" wrapText="1"/>
    </xf>
    <xf numFmtId="4" fontId="9" fillId="25" borderId="19" xfId="0" applyNumberFormat="1" applyFont="1" applyFill="1" applyBorder="1" applyAlignment="1">
      <alignment vertical="center"/>
    </xf>
    <xf numFmtId="3" fontId="8" fillId="25" borderId="19" xfId="0" applyNumberFormat="1" applyFont="1" applyFill="1" applyBorder="1" applyAlignment="1">
      <alignment vertical="center"/>
    </xf>
    <xf numFmtId="3" fontId="8" fillId="3" borderId="19" xfId="0" applyNumberFormat="1" applyFont="1" applyFill="1" applyBorder="1" applyAlignment="1">
      <alignment vertical="center"/>
    </xf>
    <xf numFmtId="3" fontId="18" fillId="0" borderId="19" xfId="0" applyNumberFormat="1" applyFont="1" applyFill="1" applyBorder="1" applyAlignment="1">
      <alignment vertical="center"/>
    </xf>
    <xf numFmtId="3" fontId="4" fillId="25" borderId="27" xfId="0" applyNumberFormat="1" applyFont="1" applyFill="1" applyBorder="1" applyAlignment="1">
      <alignment vertical="center"/>
    </xf>
    <xf numFmtId="3" fontId="8" fillId="25" borderId="35" xfId="0" applyNumberFormat="1" applyFont="1" applyFill="1" applyBorder="1" applyAlignment="1">
      <alignment vertical="center"/>
    </xf>
    <xf numFmtId="3" fontId="4" fillId="0" borderId="34" xfId="0" applyNumberFormat="1" applyFont="1" applyFill="1" applyBorder="1" applyAlignment="1">
      <alignment vertical="center"/>
    </xf>
    <xf numFmtId="3" fontId="4" fillId="20" borderId="12" xfId="0" applyNumberFormat="1" applyFont="1" applyFill="1" applyBorder="1" applyAlignment="1">
      <alignment horizontal="center" vertical="center" wrapText="1"/>
    </xf>
    <xf numFmtId="3" fontId="4" fillId="20" borderId="43" xfId="0" applyNumberFormat="1" applyFont="1" applyFill="1" applyBorder="1" applyAlignment="1">
      <alignment vertical="center"/>
    </xf>
    <xf numFmtId="3" fontId="4" fillId="20" borderId="63" xfId="0" applyNumberFormat="1" applyFont="1" applyFill="1" applyBorder="1" applyAlignment="1">
      <alignment vertical="center"/>
    </xf>
    <xf numFmtId="3" fontId="4" fillId="20" borderId="19" xfId="0" applyNumberFormat="1" applyFont="1" applyFill="1" applyBorder="1" applyAlignment="1">
      <alignment vertical="center"/>
    </xf>
    <xf numFmtId="3" fontId="4" fillId="4" borderId="25" xfId="0" applyNumberFormat="1" applyFont="1" applyFill="1" applyBorder="1" applyAlignment="1">
      <alignment wrapText="1"/>
    </xf>
    <xf numFmtId="3" fontId="4" fillId="24" borderId="26" xfId="0" applyNumberFormat="1" applyFont="1" applyFill="1" applyBorder="1" applyAlignment="1">
      <alignment wrapText="1"/>
    </xf>
    <xf numFmtId="3" fontId="4" fillId="20" borderId="27" xfId="0" applyNumberFormat="1" applyFont="1" applyFill="1" applyBorder="1" applyAlignment="1">
      <alignment vertical="center"/>
    </xf>
    <xf numFmtId="3" fontId="4" fillId="20" borderId="12" xfId="0" applyNumberFormat="1" applyFont="1" applyFill="1" applyBorder="1" applyAlignment="1">
      <alignment vertical="center"/>
    </xf>
    <xf numFmtId="4" fontId="0" fillId="0" borderId="47" xfId="0" applyNumberFormat="1" applyFill="1" applyBorder="1" applyAlignment="1">
      <alignment vertical="center"/>
    </xf>
    <xf numFmtId="4" fontId="18" fillId="0" borderId="0" xfId="0" applyNumberFormat="1" applyFont="1" applyFill="1" applyAlignment="1">
      <alignment/>
    </xf>
    <xf numFmtId="4" fontId="9" fillId="0" borderId="12" xfId="0" applyNumberFormat="1" applyFont="1" applyFill="1" applyBorder="1" applyAlignment="1">
      <alignment horizontal="center" vertical="center" wrapText="1"/>
    </xf>
    <xf numFmtId="4" fontId="18" fillId="0" borderId="37" xfId="0" applyNumberFormat="1" applyFont="1" applyFill="1" applyBorder="1" applyAlignment="1">
      <alignment vertical="center"/>
    </xf>
    <xf numFmtId="4" fontId="18" fillId="0" borderId="43" xfId="0" applyNumberFormat="1" applyFont="1" applyFill="1" applyBorder="1" applyAlignment="1">
      <alignment vertical="center"/>
    </xf>
    <xf numFmtId="4" fontId="18" fillId="0" borderId="19" xfId="0" applyNumberFormat="1" applyFont="1" applyFill="1" applyBorder="1" applyAlignment="1">
      <alignment vertical="center"/>
    </xf>
    <xf numFmtId="4" fontId="8" fillId="25" borderId="19" xfId="0" applyNumberFormat="1" applyFont="1" applyFill="1" applyBorder="1" applyAlignment="1">
      <alignment vertical="center"/>
    </xf>
    <xf numFmtId="4" fontId="18" fillId="0" borderId="36" xfId="0" applyNumberFormat="1" applyFont="1" applyFill="1" applyBorder="1" applyAlignment="1">
      <alignment vertical="center"/>
    </xf>
    <xf numFmtId="4" fontId="8" fillId="25" borderId="35" xfId="0" applyNumberFormat="1" applyFont="1" applyFill="1" applyBorder="1" applyAlignment="1">
      <alignment vertical="center"/>
    </xf>
    <xf numFmtId="4" fontId="18" fillId="0" borderId="33" xfId="0" applyNumberFormat="1" applyFont="1" applyFill="1" applyBorder="1" applyAlignment="1">
      <alignment vertical="center"/>
    </xf>
    <xf numFmtId="4" fontId="18" fillId="0" borderId="63" xfId="0" applyNumberFormat="1" applyFont="1" applyFill="1" applyBorder="1" applyAlignment="1">
      <alignment vertical="center"/>
    </xf>
    <xf numFmtId="4" fontId="18" fillId="0" borderId="0" xfId="0" applyNumberFormat="1" applyFont="1" applyFill="1" applyAlignment="1">
      <alignment horizontal="center" vertical="center"/>
    </xf>
    <xf numFmtId="4" fontId="0" fillId="0" borderId="54" xfId="0" applyNumberFormat="1" applyFill="1" applyBorder="1" applyAlignment="1">
      <alignment vertical="center"/>
    </xf>
    <xf numFmtId="4" fontId="0" fillId="0" borderId="52" xfId="0" applyNumberFormat="1" applyFill="1" applyBorder="1" applyAlignment="1">
      <alignment vertical="center"/>
    </xf>
    <xf numFmtId="4" fontId="0" fillId="0" borderId="53" xfId="0" applyNumberFormat="1" applyFill="1" applyBorder="1" applyAlignment="1">
      <alignment vertical="center"/>
    </xf>
    <xf numFmtId="4" fontId="0" fillId="0" borderId="46" xfId="0" applyNumberFormat="1" applyFill="1" applyBorder="1" applyAlignment="1">
      <alignment vertical="center"/>
    </xf>
    <xf numFmtId="4" fontId="0" fillId="0" borderId="11" xfId="0" applyNumberFormat="1" applyFill="1" applyBorder="1" applyAlignment="1">
      <alignment vertical="center"/>
    </xf>
    <xf numFmtId="3" fontId="4" fillId="25" borderId="32" xfId="0" applyNumberFormat="1" applyFont="1" applyFill="1" applyBorder="1" applyAlignment="1">
      <alignment vertical="center"/>
    </xf>
    <xf numFmtId="4" fontId="0" fillId="0" borderId="57" xfId="0" applyNumberFormat="1" applyFill="1" applyBorder="1" applyAlignment="1">
      <alignment vertical="center"/>
    </xf>
    <xf numFmtId="4" fontId="0" fillId="0" borderId="67" xfId="0" applyNumberFormat="1" applyFill="1" applyBorder="1" applyAlignment="1">
      <alignment vertical="center"/>
    </xf>
    <xf numFmtId="4" fontId="0" fillId="0" borderId="68" xfId="0" applyNumberFormat="1" applyFill="1" applyBorder="1" applyAlignment="1">
      <alignment vertical="center"/>
    </xf>
    <xf numFmtId="4" fontId="8" fillId="3" borderId="31" xfId="0" applyNumberFormat="1" applyFont="1" applyFill="1" applyBorder="1" applyAlignment="1">
      <alignment/>
    </xf>
    <xf numFmtId="0" fontId="37" fillId="3" borderId="31" xfId="0" applyFont="1" applyFill="1" applyBorder="1" applyAlignment="1">
      <alignment wrapText="1"/>
    </xf>
    <xf numFmtId="3" fontId="4" fillId="0" borderId="0" xfId="0" applyNumberFormat="1" applyFont="1" applyFill="1" applyAlignment="1">
      <alignment vertical="distributed"/>
    </xf>
    <xf numFmtId="4" fontId="0" fillId="0" borderId="0" xfId="0" applyNumberFormat="1" applyFill="1" applyAlignment="1">
      <alignment vertical="distributed"/>
    </xf>
    <xf numFmtId="0" fontId="0" fillId="0" borderId="0" xfId="0" applyFill="1" applyAlignment="1">
      <alignment vertical="distributed"/>
    </xf>
    <xf numFmtId="4" fontId="0" fillId="0" borderId="20" xfId="0" applyNumberFormat="1" applyFill="1" applyBorder="1" applyAlignment="1">
      <alignment vertical="center"/>
    </xf>
    <xf numFmtId="4" fontId="0" fillId="0" borderId="13" xfId="0" applyNumberFormat="1" applyFill="1" applyBorder="1" applyAlignment="1">
      <alignment vertical="center"/>
    </xf>
    <xf numFmtId="4" fontId="0" fillId="0" borderId="21" xfId="0" applyNumberFormat="1" applyFill="1" applyBorder="1" applyAlignment="1">
      <alignment vertical="center"/>
    </xf>
    <xf numFmtId="4" fontId="4" fillId="20" borderId="32" xfId="0" applyNumberFormat="1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" fontId="4" fillId="0" borderId="42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4" fontId="4" fillId="25" borderId="11" xfId="0" applyNumberFormat="1" applyFont="1" applyFill="1" applyBorder="1" applyAlignment="1">
      <alignment vertical="center"/>
    </xf>
    <xf numFmtId="4" fontId="4" fillId="25" borderId="52" xfId="0" applyNumberFormat="1" applyFont="1" applyFill="1" applyBorder="1" applyAlignment="1">
      <alignment vertical="center"/>
    </xf>
    <xf numFmtId="4" fontId="4" fillId="25" borderId="31" xfId="0" applyNumberFormat="1" applyFont="1" applyFill="1" applyBorder="1" applyAlignment="1">
      <alignment vertical="center" wrapText="1"/>
    </xf>
    <xf numFmtId="4" fontId="4" fillId="25" borderId="31" xfId="0" applyNumberFormat="1" applyFont="1" applyFill="1" applyBorder="1" applyAlignment="1">
      <alignment vertical="center"/>
    </xf>
    <xf numFmtId="4" fontId="4" fillId="25" borderId="51" xfId="0" applyNumberFormat="1" applyFont="1" applyFill="1" applyBorder="1" applyAlignment="1">
      <alignment vertical="center" wrapText="1"/>
    </xf>
    <xf numFmtId="4" fontId="4" fillId="25" borderId="51" xfId="0" applyNumberFormat="1" applyFont="1" applyFill="1" applyBorder="1" applyAlignment="1">
      <alignment vertical="center"/>
    </xf>
    <xf numFmtId="4" fontId="4" fillId="25" borderId="22" xfId="0" applyNumberFormat="1" applyFont="1" applyFill="1" applyBorder="1" applyAlignment="1">
      <alignment vertical="center" wrapText="1"/>
    </xf>
    <xf numFmtId="4" fontId="4" fillId="25" borderId="22" xfId="0" applyNumberFormat="1" applyFont="1" applyFill="1" applyBorder="1" applyAlignment="1">
      <alignment vertical="center"/>
    </xf>
    <xf numFmtId="4" fontId="4" fillId="25" borderId="35" xfId="0" applyNumberFormat="1" applyFont="1" applyFill="1" applyBorder="1" applyAlignment="1">
      <alignment vertical="center"/>
    </xf>
    <xf numFmtId="4" fontId="4" fillId="3" borderId="35" xfId="0" applyNumberFormat="1" applyFont="1" applyFill="1" applyBorder="1" applyAlignment="1">
      <alignment vertical="center"/>
    </xf>
    <xf numFmtId="3" fontId="4" fillId="25" borderId="34" xfId="0" applyNumberFormat="1" applyFont="1" applyFill="1" applyBorder="1" applyAlignment="1">
      <alignment vertical="center"/>
    </xf>
    <xf numFmtId="4" fontId="4" fillId="25" borderId="34" xfId="0" applyNumberFormat="1" applyFont="1" applyFill="1" applyBorder="1" applyAlignment="1">
      <alignment vertical="center"/>
    </xf>
    <xf numFmtId="4" fontId="4" fillId="25" borderId="53" xfId="0" applyNumberFormat="1" applyFont="1" applyFill="1" applyBorder="1" applyAlignment="1">
      <alignment vertical="center"/>
    </xf>
    <xf numFmtId="4" fontId="4" fillId="25" borderId="20" xfId="0" applyNumberFormat="1" applyFont="1" applyFill="1" applyBorder="1" applyAlignment="1">
      <alignment vertical="center"/>
    </xf>
    <xf numFmtId="0" fontId="0" fillId="0" borderId="81" xfId="0" applyFill="1" applyBorder="1" applyAlignment="1">
      <alignment vertical="center"/>
    </xf>
    <xf numFmtId="4" fontId="4" fillId="25" borderId="54" xfId="0" applyNumberFormat="1" applyFont="1" applyFill="1" applyBorder="1" applyAlignment="1">
      <alignment vertical="center"/>
    </xf>
    <xf numFmtId="4" fontId="4" fillId="25" borderId="13" xfId="0" applyNumberFormat="1" applyFont="1" applyFill="1" applyBorder="1" applyAlignment="1">
      <alignment vertical="center"/>
    </xf>
    <xf numFmtId="4" fontId="18" fillId="0" borderId="35" xfId="0" applyNumberFormat="1" applyFont="1" applyFill="1" applyBorder="1" applyAlignment="1">
      <alignment vertical="center"/>
    </xf>
    <xf numFmtId="3" fontId="18" fillId="0" borderId="35" xfId="0" applyNumberFormat="1" applyFont="1" applyFill="1" applyBorder="1" applyAlignment="1">
      <alignment vertical="center"/>
    </xf>
    <xf numFmtId="4" fontId="0" fillId="0" borderId="69" xfId="0" applyNumberFormat="1" applyFill="1" applyBorder="1" applyAlignment="1">
      <alignment vertical="center"/>
    </xf>
    <xf numFmtId="4" fontId="0" fillId="0" borderId="70" xfId="0" applyNumberFormat="1" applyFill="1" applyBorder="1" applyAlignment="1">
      <alignment vertical="center"/>
    </xf>
    <xf numFmtId="4" fontId="0" fillId="0" borderId="71" xfId="0" applyNumberFormat="1" applyFill="1" applyBorder="1" applyAlignment="1">
      <alignment vertical="center"/>
    </xf>
    <xf numFmtId="4" fontId="0" fillId="0" borderId="74" xfId="0" applyNumberFormat="1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4" fontId="9" fillId="3" borderId="31" xfId="0" applyNumberFormat="1" applyFont="1" applyFill="1" applyBorder="1" applyAlignment="1">
      <alignment/>
    </xf>
    <xf numFmtId="0" fontId="38" fillId="0" borderId="0" xfId="0" applyFont="1" applyFill="1" applyAlignment="1">
      <alignment vertical="distributed"/>
    </xf>
    <xf numFmtId="0" fontId="38" fillId="0" borderId="0" xfId="0" applyFont="1" applyFill="1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4" fontId="38" fillId="0" borderId="37" xfId="0" applyNumberFormat="1" applyFont="1" applyFill="1" applyBorder="1" applyAlignment="1">
      <alignment vertical="center"/>
    </xf>
    <xf numFmtId="4" fontId="38" fillId="0" borderId="36" xfId="0" applyNumberFormat="1" applyFont="1" applyFill="1" applyBorder="1" applyAlignment="1">
      <alignment vertical="center"/>
    </xf>
    <xf numFmtId="4" fontId="38" fillId="0" borderId="43" xfId="0" applyNumberFormat="1" applyFont="1" applyFill="1" applyBorder="1" applyAlignment="1">
      <alignment vertical="center"/>
    </xf>
    <xf numFmtId="4" fontId="38" fillId="0" borderId="19" xfId="0" applyNumberFormat="1" applyFont="1" applyFill="1" applyBorder="1" applyAlignment="1">
      <alignment vertical="center"/>
    </xf>
    <xf numFmtId="4" fontId="39" fillId="25" borderId="22" xfId="0" applyNumberFormat="1" applyFont="1" applyFill="1" applyBorder="1" applyAlignment="1">
      <alignment vertical="center"/>
    </xf>
    <xf numFmtId="4" fontId="39" fillId="20" borderId="32" xfId="0" applyNumberFormat="1" applyFont="1" applyFill="1" applyBorder="1" applyAlignment="1">
      <alignment vertical="center"/>
    </xf>
    <xf numFmtId="3" fontId="39" fillId="0" borderId="25" xfId="0" applyNumberFormat="1" applyFont="1" applyFill="1" applyBorder="1" applyAlignment="1">
      <alignment/>
    </xf>
    <xf numFmtId="3" fontId="39" fillId="0" borderId="18" xfId="0" applyNumberFormat="1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distributed"/>
    </xf>
    <xf numFmtId="4" fontId="9" fillId="4" borderId="34" xfId="0" applyNumberFormat="1" applyFont="1" applyFill="1" applyBorder="1" applyAlignment="1">
      <alignment horizontal="center" vertical="center" wrapText="1"/>
    </xf>
    <xf numFmtId="0" fontId="11" fillId="0" borderId="44" xfId="0" applyFont="1" applyFill="1" applyBorder="1" applyAlignment="1">
      <alignment vertical="center"/>
    </xf>
    <xf numFmtId="4" fontId="11" fillId="0" borderId="45" xfId="0" applyNumberFormat="1" applyFont="1" applyFill="1" applyBorder="1" applyAlignment="1">
      <alignment vertical="center"/>
    </xf>
    <xf numFmtId="4" fontId="9" fillId="25" borderId="22" xfId="0" applyNumberFormat="1" applyFont="1" applyFill="1" applyBorder="1" applyAlignment="1">
      <alignment vertical="center"/>
    </xf>
    <xf numFmtId="4" fontId="11" fillId="0" borderId="73" xfId="0" applyNumberFormat="1" applyFont="1" applyFill="1" applyBorder="1" applyAlignment="1">
      <alignment vertical="center"/>
    </xf>
    <xf numFmtId="3" fontId="9" fillId="0" borderId="25" xfId="0" applyNumberFormat="1" applyFont="1" applyFill="1" applyBorder="1" applyAlignment="1">
      <alignment/>
    </xf>
    <xf numFmtId="3" fontId="9" fillId="0" borderId="18" xfId="0" applyNumberFormat="1" applyFont="1" applyFill="1" applyBorder="1" applyAlignment="1">
      <alignment/>
    </xf>
    <xf numFmtId="4" fontId="36" fillId="3" borderId="31" xfId="0" applyNumberFormat="1" applyFont="1" applyFill="1" applyBorder="1" applyAlignment="1">
      <alignment/>
    </xf>
    <xf numFmtId="3" fontId="40" fillId="0" borderId="37" xfId="0" applyNumberFormat="1" applyFont="1" applyFill="1" applyBorder="1" applyAlignment="1">
      <alignment vertical="center"/>
    </xf>
    <xf numFmtId="3" fontId="40" fillId="0" borderId="43" xfId="0" applyNumberFormat="1" applyFont="1" applyFill="1" applyBorder="1" applyAlignment="1">
      <alignment vertical="center"/>
    </xf>
    <xf numFmtId="4" fontId="36" fillId="25" borderId="19" xfId="0" applyNumberFormat="1" applyFont="1" applyFill="1" applyBorder="1" applyAlignment="1">
      <alignment vertical="center"/>
    </xf>
    <xf numFmtId="3" fontId="40" fillId="0" borderId="19" xfId="0" applyNumberFormat="1" applyFont="1" applyFill="1" applyBorder="1" applyAlignment="1">
      <alignment vertical="center"/>
    </xf>
    <xf numFmtId="3" fontId="36" fillId="25" borderId="19" xfId="0" applyNumberFormat="1" applyFont="1" applyFill="1" applyBorder="1" applyAlignment="1">
      <alignment vertical="center"/>
    </xf>
    <xf numFmtId="3" fontId="40" fillId="0" borderId="36" xfId="0" applyNumberFormat="1" applyFont="1" applyFill="1" applyBorder="1" applyAlignment="1">
      <alignment vertical="center"/>
    </xf>
    <xf numFmtId="4" fontId="36" fillId="25" borderId="35" xfId="0" applyNumberFormat="1" applyFont="1" applyFill="1" applyBorder="1" applyAlignment="1">
      <alignment vertical="center"/>
    </xf>
    <xf numFmtId="3" fontId="40" fillId="0" borderId="63" xfId="0" applyNumberFormat="1" applyFont="1" applyFill="1" applyBorder="1" applyAlignment="1">
      <alignment vertical="center"/>
    </xf>
    <xf numFmtId="3" fontId="40" fillId="0" borderId="35" xfId="0" applyNumberFormat="1" applyFont="1" applyFill="1" applyBorder="1" applyAlignment="1">
      <alignment vertical="center"/>
    </xf>
    <xf numFmtId="4" fontId="36" fillId="20" borderId="32" xfId="0" applyNumberFormat="1" applyFont="1" applyFill="1" applyBorder="1" applyAlignment="1">
      <alignment vertical="center"/>
    </xf>
    <xf numFmtId="4" fontId="36" fillId="0" borderId="25" xfId="0" applyNumberFormat="1" applyFont="1" applyFill="1" applyBorder="1" applyAlignment="1">
      <alignment/>
    </xf>
    <xf numFmtId="4" fontId="36" fillId="0" borderId="18" xfId="0" applyNumberFormat="1" applyFont="1" applyFill="1" applyBorder="1" applyAlignment="1">
      <alignment/>
    </xf>
    <xf numFmtId="0" fontId="40" fillId="0" borderId="0" xfId="0" applyFont="1" applyFill="1" applyAlignment="1">
      <alignment/>
    </xf>
    <xf numFmtId="4" fontId="40" fillId="4" borderId="25" xfId="0" applyNumberFormat="1" applyFont="1" applyFill="1" applyBorder="1" applyAlignment="1">
      <alignment wrapText="1"/>
    </xf>
    <xf numFmtId="4" fontId="40" fillId="24" borderId="26" xfId="0" applyNumberFormat="1" applyFont="1" applyFill="1" applyBorder="1" applyAlignment="1">
      <alignment wrapText="1"/>
    </xf>
    <xf numFmtId="4" fontId="36" fillId="0" borderId="32" xfId="0" applyNumberFormat="1" applyFont="1" applyFill="1" applyBorder="1" applyAlignment="1">
      <alignment vertical="center" wrapText="1"/>
    </xf>
    <xf numFmtId="4" fontId="36" fillId="24" borderId="12" xfId="0" applyNumberFormat="1" applyFont="1" applyFill="1" applyBorder="1" applyAlignment="1">
      <alignment vertical="center" wrapText="1"/>
    </xf>
    <xf numFmtId="3" fontId="40" fillId="0" borderId="0" xfId="0" applyNumberFormat="1" applyFont="1" applyFill="1" applyAlignment="1">
      <alignment horizontal="center" vertical="center"/>
    </xf>
    <xf numFmtId="3" fontId="40" fillId="0" borderId="0" xfId="0" applyNumberFormat="1" applyFont="1" applyFill="1" applyAlignment="1">
      <alignment/>
    </xf>
    <xf numFmtId="3" fontId="4" fillId="0" borderId="37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25" borderId="63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25" borderId="19" xfId="0" applyNumberFormat="1" applyFont="1" applyFill="1" applyBorder="1" applyAlignment="1">
      <alignment vertical="center"/>
    </xf>
    <xf numFmtId="4" fontId="8" fillId="25" borderId="63" xfId="0" applyNumberFormat="1" applyFont="1" applyFill="1" applyBorder="1" applyAlignment="1">
      <alignment vertical="center"/>
    </xf>
    <xf numFmtId="3" fontId="36" fillId="25" borderId="63" xfId="0" applyNumberFormat="1" applyFont="1" applyFill="1" applyBorder="1" applyAlignment="1">
      <alignment vertical="center"/>
    </xf>
    <xf numFmtId="3" fontId="8" fillId="25" borderId="63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distributed"/>
    </xf>
    <xf numFmtId="0" fontId="1" fillId="0" borderId="10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4" fontId="5" fillId="0" borderId="83" xfId="0" applyNumberFormat="1" applyFont="1" applyFill="1" applyBorder="1" applyAlignment="1">
      <alignment horizontal="left" wrapText="1"/>
    </xf>
    <xf numFmtId="0" fontId="5" fillId="0" borderId="83" xfId="0" applyFont="1" applyFill="1" applyBorder="1" applyAlignment="1">
      <alignment horizontal="left" wrapText="1"/>
    </xf>
    <xf numFmtId="0" fontId="1" fillId="20" borderId="19" xfId="0" applyFont="1" applyFill="1" applyBorder="1" applyAlignment="1">
      <alignment horizontal="center" vertical="center" wrapText="1"/>
    </xf>
    <xf numFmtId="0" fontId="1" fillId="20" borderId="81" xfId="0" applyFont="1" applyFill="1" applyBorder="1" applyAlignment="1">
      <alignment horizontal="center" vertical="center" wrapText="1"/>
    </xf>
    <xf numFmtId="0" fontId="1" fillId="20" borderId="69" xfId="0" applyFont="1" applyFill="1" applyBorder="1" applyAlignment="1">
      <alignment horizontal="center" vertical="center" wrapText="1"/>
    </xf>
    <xf numFmtId="0" fontId="1" fillId="20" borderId="74" xfId="0" applyFont="1" applyFill="1" applyBorder="1" applyAlignment="1">
      <alignment horizontal="center" vertical="center" wrapText="1"/>
    </xf>
    <xf numFmtId="0" fontId="9" fillId="24" borderId="19" xfId="0" applyFont="1" applyFill="1" applyBorder="1" applyAlignment="1">
      <alignment horizontal="center" vertical="center" wrapText="1"/>
    </xf>
    <xf numFmtId="0" fontId="9" fillId="24" borderId="39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" fillId="5" borderId="63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 wrapText="1"/>
    </xf>
    <xf numFmtId="0" fontId="5" fillId="28" borderId="19" xfId="0" applyFont="1" applyFill="1" applyBorder="1" applyAlignment="1">
      <alignment horizontal="center" vertical="center" wrapText="1"/>
    </xf>
    <xf numFmtId="0" fontId="5" fillId="28" borderId="81" xfId="0" applyFont="1" applyFill="1" applyBorder="1" applyAlignment="1">
      <alignment horizontal="center" vertical="center" wrapText="1"/>
    </xf>
    <xf numFmtId="4" fontId="4" fillId="4" borderId="19" xfId="0" applyNumberFormat="1" applyFont="1" applyFill="1" applyBorder="1" applyAlignment="1">
      <alignment horizontal="center" wrapText="1"/>
    </xf>
    <xf numFmtId="4" fontId="4" fillId="4" borderId="62" xfId="0" applyNumberFormat="1" applyFont="1" applyFill="1" applyBorder="1" applyAlignment="1">
      <alignment horizontal="center" wrapText="1"/>
    </xf>
    <xf numFmtId="0" fontId="1" fillId="20" borderId="35" xfId="0" applyFont="1" applyFill="1" applyBorder="1" applyAlignment="1">
      <alignment horizontal="center" vertical="center" wrapText="1"/>
    </xf>
    <xf numFmtId="0" fontId="1" fillId="20" borderId="40" xfId="0" applyFont="1" applyFill="1" applyBorder="1" applyAlignment="1">
      <alignment horizontal="center" vertical="center" wrapText="1"/>
    </xf>
    <xf numFmtId="0" fontId="1" fillId="5" borderId="81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left" vertical="center" wrapText="1"/>
    </xf>
    <xf numFmtId="0" fontId="1" fillId="5" borderId="83" xfId="0" applyFont="1" applyFill="1" applyBorder="1" applyAlignment="1">
      <alignment horizontal="left" vertical="center" wrapText="1"/>
    </xf>
    <xf numFmtId="0" fontId="1" fillId="20" borderId="63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1" fillId="5" borderId="81" xfId="0" applyFont="1" applyFill="1" applyBorder="1" applyAlignment="1">
      <alignment horizontal="left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39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workbookViewId="0" topLeftCell="A1">
      <pane xSplit="11490" topLeftCell="Z1" activePane="topLeft" state="split"/>
      <selection pane="topLeft" activeCell="I4" sqref="I4"/>
      <selection pane="topRight" activeCell="AA4" sqref="AA1:AA16384"/>
    </sheetView>
  </sheetViews>
  <sheetFormatPr defaultColWidth="9.140625" defaultRowHeight="12.75"/>
  <cols>
    <col min="1" max="1" width="14.140625" style="18" customWidth="1"/>
    <col min="2" max="2" width="23.7109375" style="19" bestFit="1" customWidth="1"/>
    <col min="3" max="3" width="11.00390625" style="604" customWidth="1"/>
    <col min="4" max="4" width="7.421875" style="702" hidden="1" customWidth="1"/>
    <col min="5" max="5" width="9.8515625" style="517" customWidth="1"/>
    <col min="6" max="6" width="11.28125" style="568" customWidth="1"/>
    <col min="7" max="7" width="12.140625" style="568" customWidth="1"/>
    <col min="8" max="8" width="12.00390625" style="568" customWidth="1"/>
    <col min="9" max="9" width="11.57421875" style="568" customWidth="1"/>
    <col min="10" max="10" width="11.7109375" style="27" customWidth="1"/>
    <col min="11" max="11" width="10.140625" style="27" bestFit="1" customWidth="1"/>
    <col min="12" max="12" width="11.7109375" style="27" bestFit="1" customWidth="1"/>
    <col min="13" max="13" width="11.7109375" style="27" customWidth="1"/>
    <col min="14" max="14" width="10.140625" style="27" bestFit="1" customWidth="1"/>
    <col min="15" max="15" width="11.7109375" style="27" bestFit="1" customWidth="1"/>
    <col min="16" max="16" width="11.7109375" style="27" hidden="1" customWidth="1"/>
    <col min="17" max="17" width="10.140625" style="27" hidden="1" customWidth="1"/>
    <col min="18" max="19" width="11.7109375" style="27" hidden="1" customWidth="1"/>
    <col min="20" max="20" width="10.140625" style="27" hidden="1" customWidth="1"/>
    <col min="21" max="21" width="11.7109375" style="27" hidden="1" customWidth="1"/>
    <col min="22" max="22" width="3.8515625" style="10" customWidth="1"/>
    <col min="23" max="23" width="11.8515625" style="10" customWidth="1"/>
    <col min="24" max="24" width="10.140625" style="10" bestFit="1" customWidth="1"/>
    <col min="25" max="25" width="11.7109375" style="10" bestFit="1" customWidth="1"/>
    <col min="26" max="26" width="8.8515625" style="662" customWidth="1"/>
    <col min="27" max="27" width="11.57421875" style="10" customWidth="1"/>
    <col min="28" max="28" width="9.7109375" style="427" customWidth="1"/>
    <col min="29" max="16384" width="9.140625" style="10" customWidth="1"/>
  </cols>
  <sheetData>
    <row r="1" spans="1:28" s="628" customFormat="1" ht="26.25" customHeight="1">
      <c r="A1" s="715" t="s">
        <v>1</v>
      </c>
      <c r="B1" s="715"/>
      <c r="C1" s="715"/>
      <c r="D1" s="715"/>
      <c r="E1" s="715"/>
      <c r="F1" s="626"/>
      <c r="G1" s="626"/>
      <c r="H1" s="626"/>
      <c r="I1" s="626"/>
      <c r="J1" s="627"/>
      <c r="K1" s="627"/>
      <c r="L1" s="627"/>
      <c r="M1" s="627"/>
      <c r="N1" s="627"/>
      <c r="O1" s="627"/>
      <c r="P1" s="627"/>
      <c r="Q1" s="627"/>
      <c r="R1" s="627"/>
      <c r="S1" s="627"/>
      <c r="T1" s="627"/>
      <c r="U1" s="627"/>
      <c r="Z1" s="661"/>
      <c r="AB1" s="675"/>
    </row>
    <row r="2" spans="2:21" ht="24" customHeight="1">
      <c r="B2" s="625" t="s">
        <v>155</v>
      </c>
      <c r="C2" s="660">
        <f>C5+C9</f>
        <v>2463905.44</v>
      </c>
      <c r="D2" s="683"/>
      <c r="E2" s="624"/>
      <c r="F2" s="624">
        <f aca="true" t="shared" si="0" ref="F2:L2">F5+F9</f>
        <v>2481000</v>
      </c>
      <c r="G2" s="624">
        <f t="shared" si="0"/>
        <v>827000</v>
      </c>
      <c r="H2" s="624">
        <f t="shared" si="0"/>
        <v>827000</v>
      </c>
      <c r="I2" s="624">
        <f t="shared" si="0"/>
        <v>827000</v>
      </c>
      <c r="J2" s="624">
        <f t="shared" si="0"/>
        <v>957245.3999999999</v>
      </c>
      <c r="K2" s="624">
        <f t="shared" si="0"/>
        <v>315250.35</v>
      </c>
      <c r="L2" s="624">
        <f t="shared" si="0"/>
        <v>1231958.84</v>
      </c>
      <c r="M2" s="624">
        <f aca="true" t="shared" si="1" ref="M2:U2">M5+M9</f>
        <v>0</v>
      </c>
      <c r="N2" s="624">
        <f t="shared" si="1"/>
        <v>0</v>
      </c>
      <c r="O2" s="624">
        <f t="shared" si="1"/>
        <v>426182.04</v>
      </c>
      <c r="P2" s="624">
        <f t="shared" si="1"/>
        <v>0</v>
      </c>
      <c r="Q2" s="624">
        <f t="shared" si="1"/>
        <v>0</v>
      </c>
      <c r="R2" s="624">
        <f t="shared" si="1"/>
        <v>0</v>
      </c>
      <c r="S2" s="624">
        <f t="shared" si="1"/>
        <v>957245.3999999999</v>
      </c>
      <c r="T2" s="624">
        <f t="shared" si="1"/>
        <v>315250.35</v>
      </c>
      <c r="U2" s="624">
        <f t="shared" si="1"/>
        <v>1658140.88</v>
      </c>
    </row>
    <row r="3" spans="1:21" ht="30.75" customHeight="1" thickBot="1">
      <c r="A3" s="721"/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10"/>
      <c r="N3" s="10"/>
      <c r="O3" s="10"/>
      <c r="P3" s="10"/>
      <c r="Q3" s="10"/>
      <c r="R3" s="10"/>
      <c r="S3" s="10"/>
      <c r="T3" s="10"/>
      <c r="U3" s="10"/>
    </row>
    <row r="4" spans="1:28" s="18" customFormat="1" ht="56.25" customHeight="1" thickBot="1">
      <c r="A4" s="20" t="s">
        <v>2</v>
      </c>
      <c r="B4" s="21" t="s">
        <v>3</v>
      </c>
      <c r="C4" s="605" t="s">
        <v>152</v>
      </c>
      <c r="D4" s="587" t="s">
        <v>150</v>
      </c>
      <c r="E4" s="587" t="s">
        <v>151</v>
      </c>
      <c r="F4" s="595" t="s">
        <v>153</v>
      </c>
      <c r="G4" s="585" t="s">
        <v>146</v>
      </c>
      <c r="H4" s="585" t="s">
        <v>167</v>
      </c>
      <c r="I4" s="585" t="s">
        <v>166</v>
      </c>
      <c r="J4" s="294" t="s">
        <v>70</v>
      </c>
      <c r="K4" s="295" t="s">
        <v>71</v>
      </c>
      <c r="L4" s="296" t="s">
        <v>154</v>
      </c>
      <c r="M4" s="294" t="s">
        <v>73</v>
      </c>
      <c r="N4" s="295" t="s">
        <v>74</v>
      </c>
      <c r="O4" s="296" t="s">
        <v>156</v>
      </c>
      <c r="P4" s="294" t="s">
        <v>82</v>
      </c>
      <c r="Q4" s="295" t="s">
        <v>83</v>
      </c>
      <c r="R4" s="296" t="s">
        <v>161</v>
      </c>
      <c r="S4" s="294" t="s">
        <v>86</v>
      </c>
      <c r="T4" s="295" t="s">
        <v>162</v>
      </c>
      <c r="U4" s="296" t="s">
        <v>163</v>
      </c>
      <c r="W4" s="294" t="s">
        <v>158</v>
      </c>
      <c r="X4" s="295" t="s">
        <v>159</v>
      </c>
      <c r="Y4" s="306" t="s">
        <v>160</v>
      </c>
      <c r="Z4" s="663" t="s">
        <v>157</v>
      </c>
      <c r="AA4" s="527" t="s">
        <v>164</v>
      </c>
      <c r="AB4" s="676" t="s">
        <v>165</v>
      </c>
    </row>
    <row r="5" spans="1:28" s="1" customFormat="1" ht="18.75" customHeight="1">
      <c r="A5" s="716" t="s">
        <v>7</v>
      </c>
      <c r="B5" s="7" t="s">
        <v>4</v>
      </c>
      <c r="C5" s="606">
        <f>1967639.11+12734.69</f>
        <v>1980373.8</v>
      </c>
      <c r="D5" s="684">
        <v>706050.8708333332</v>
      </c>
      <c r="E5" s="562">
        <v>-246022.46</v>
      </c>
      <c r="F5" s="529">
        <f>G5+H5+I5</f>
        <v>2046000</v>
      </c>
      <c r="G5" s="571">
        <v>682000</v>
      </c>
      <c r="H5" s="571">
        <v>682000</v>
      </c>
      <c r="I5" s="703">
        <v>682000</v>
      </c>
      <c r="J5" s="307">
        <v>821510.71</v>
      </c>
      <c r="K5" s="308">
        <v>282842.47</v>
      </c>
      <c r="L5" s="310">
        <v>1013552.29</v>
      </c>
      <c r="M5" s="307"/>
      <c r="N5" s="308"/>
      <c r="O5" s="310">
        <v>201504.74</v>
      </c>
      <c r="P5" s="307"/>
      <c r="Q5" s="308"/>
      <c r="R5" s="309"/>
      <c r="S5" s="307">
        <f>J5+M5+P5</f>
        <v>821510.71</v>
      </c>
      <c r="T5" s="308">
        <f>K5+N5+Q5</f>
        <v>282842.47</v>
      </c>
      <c r="U5" s="310">
        <f>L5+O5+R5</f>
        <v>1215057.03</v>
      </c>
      <c r="W5" s="307">
        <f>S5</f>
        <v>821510.71</v>
      </c>
      <c r="X5" s="308">
        <f>T5</f>
        <v>282842.47</v>
      </c>
      <c r="Y5" s="309">
        <f>U5</f>
        <v>1215057.03</v>
      </c>
      <c r="Z5" s="664">
        <f>C5+X5-W5</f>
        <v>1441705.56</v>
      </c>
      <c r="AA5" s="307">
        <f>F5-X5</f>
        <v>1763157.53</v>
      </c>
      <c r="AB5" s="677"/>
    </row>
    <row r="6" spans="1:28" s="1" customFormat="1" ht="18.75" customHeight="1" thickBot="1">
      <c r="A6" s="717"/>
      <c r="B6" s="22" t="s">
        <v>5</v>
      </c>
      <c r="C6" s="607"/>
      <c r="D6" s="685">
        <v>803207.1358333332</v>
      </c>
      <c r="E6" s="563">
        <v>79475.62999999896</v>
      </c>
      <c r="F6" s="529">
        <f>G6+H6+I6</f>
        <v>2400000</v>
      </c>
      <c r="G6" s="569">
        <v>800000</v>
      </c>
      <c r="H6" s="569">
        <v>800000</v>
      </c>
      <c r="I6" s="704">
        <v>800000</v>
      </c>
      <c r="J6" s="311">
        <v>685474.75</v>
      </c>
      <c r="K6" s="312"/>
      <c r="L6" s="314"/>
      <c r="M6" s="311"/>
      <c r="N6" s="312"/>
      <c r="O6" s="314"/>
      <c r="P6" s="311"/>
      <c r="Q6" s="312"/>
      <c r="R6" s="313"/>
      <c r="S6" s="311">
        <f aca="true" t="shared" si="2" ref="S6:S37">J6+M6+P6</f>
        <v>685474.75</v>
      </c>
      <c r="T6" s="312">
        <f aca="true" t="shared" si="3" ref="T6:T37">K6+N6+Q6</f>
        <v>0</v>
      </c>
      <c r="U6" s="314">
        <f aca="true" t="shared" si="4" ref="U6:U37">L6+O6+R6</f>
        <v>0</v>
      </c>
      <c r="W6" s="311">
        <f aca="true" t="shared" si="5" ref="W6:W37">S6</f>
        <v>685474.75</v>
      </c>
      <c r="X6" s="312">
        <f aca="true" t="shared" si="6" ref="X6:X37">T6</f>
        <v>0</v>
      </c>
      <c r="Y6" s="313">
        <f aca="true" t="shared" si="7" ref="Y6:Y37">U6</f>
        <v>0</v>
      </c>
      <c r="Z6" s="665"/>
      <c r="AA6" s="311"/>
      <c r="AB6" s="678">
        <f>F6-W6</f>
        <v>1714525.25</v>
      </c>
    </row>
    <row r="7" spans="1:28" s="1" customFormat="1" ht="24" customHeight="1" thickBot="1">
      <c r="A7" s="719" t="s">
        <v>45</v>
      </c>
      <c r="B7" s="720"/>
      <c r="C7" s="588">
        <f>C5</f>
        <v>1980373.8</v>
      </c>
      <c r="D7" s="686">
        <v>1509258.0066666666</v>
      </c>
      <c r="E7" s="588">
        <v>-137583.630000001</v>
      </c>
      <c r="F7" s="570">
        <f aca="true" t="shared" si="8" ref="F7:L7">F5+F6</f>
        <v>4446000</v>
      </c>
      <c r="G7" s="570">
        <f t="shared" si="8"/>
        <v>1482000</v>
      </c>
      <c r="H7" s="570">
        <f t="shared" si="8"/>
        <v>1482000</v>
      </c>
      <c r="I7" s="570">
        <f t="shared" si="8"/>
        <v>1482000</v>
      </c>
      <c r="J7" s="364">
        <f t="shared" si="8"/>
        <v>1506985.46</v>
      </c>
      <c r="K7" s="364">
        <f t="shared" si="8"/>
        <v>282842.47</v>
      </c>
      <c r="L7" s="364">
        <f t="shared" si="8"/>
        <v>1013552.29</v>
      </c>
      <c r="M7" s="364">
        <f aca="true" t="shared" si="9" ref="M7:U7">M5+M6</f>
        <v>0</v>
      </c>
      <c r="N7" s="364">
        <f t="shared" si="9"/>
        <v>0</v>
      </c>
      <c r="O7" s="364">
        <f t="shared" si="9"/>
        <v>201504.74</v>
      </c>
      <c r="P7" s="364">
        <f t="shared" si="9"/>
        <v>0</v>
      </c>
      <c r="Q7" s="364">
        <f t="shared" si="9"/>
        <v>0</v>
      </c>
      <c r="R7" s="422">
        <f t="shared" si="9"/>
        <v>0</v>
      </c>
      <c r="S7" s="422">
        <f t="shared" si="9"/>
        <v>1506985.46</v>
      </c>
      <c r="T7" s="422">
        <f t="shared" si="9"/>
        <v>282842.47</v>
      </c>
      <c r="U7" s="364">
        <f t="shared" si="9"/>
        <v>1215057.03</v>
      </c>
      <c r="V7" s="422"/>
      <c r="W7" s="640">
        <f>W5+W6</f>
        <v>1506985.46</v>
      </c>
      <c r="X7" s="638">
        <f>X5+X6</f>
        <v>282842.47</v>
      </c>
      <c r="Y7" s="642">
        <f>Y5+Y6</f>
        <v>1215057.03</v>
      </c>
      <c r="Z7" s="665"/>
      <c r="AA7" s="311"/>
      <c r="AB7" s="678"/>
    </row>
    <row r="8" spans="1:28" s="1" customFormat="1" ht="18.75" customHeight="1">
      <c r="A8" s="115"/>
      <c r="B8" s="116" t="s">
        <v>33</v>
      </c>
      <c r="C8" s="606"/>
      <c r="D8" s="684">
        <v>202396.13</v>
      </c>
      <c r="E8" s="562">
        <v>-1246.4399999999441</v>
      </c>
      <c r="F8" s="529">
        <f aca="true" t="shared" si="10" ref="F8:F37">G8+H8+I8</f>
        <v>600000</v>
      </c>
      <c r="G8" s="571">
        <v>200000</v>
      </c>
      <c r="H8" s="571">
        <v>200000</v>
      </c>
      <c r="I8" s="703">
        <v>200000</v>
      </c>
      <c r="J8" s="311">
        <v>70771.74</v>
      </c>
      <c r="K8" s="312"/>
      <c r="L8" s="314"/>
      <c r="M8" s="311"/>
      <c r="N8" s="312"/>
      <c r="O8" s="314"/>
      <c r="P8" s="311"/>
      <c r="Q8" s="312"/>
      <c r="R8" s="313"/>
      <c r="S8" s="311">
        <f t="shared" si="2"/>
        <v>70771.74</v>
      </c>
      <c r="T8" s="312">
        <f t="shared" si="3"/>
        <v>0</v>
      </c>
      <c r="U8" s="314">
        <f t="shared" si="4"/>
        <v>0</v>
      </c>
      <c r="W8" s="311">
        <f t="shared" si="5"/>
        <v>70771.74</v>
      </c>
      <c r="X8" s="312">
        <f t="shared" si="6"/>
        <v>0</v>
      </c>
      <c r="Y8" s="313">
        <f t="shared" si="7"/>
        <v>0</v>
      </c>
      <c r="Z8" s="665"/>
      <c r="AA8" s="311"/>
      <c r="AB8" s="678">
        <f aca="true" t="shared" si="11" ref="AB8:AB37">F8-W8</f>
        <v>529228.26</v>
      </c>
    </row>
    <row r="9" spans="1:28" s="1" customFormat="1" ht="18.75" customHeight="1" thickBot="1">
      <c r="A9" s="259"/>
      <c r="B9" s="273" t="s">
        <v>67</v>
      </c>
      <c r="C9" s="607">
        <f>496266.33-12734.69</f>
        <v>483531.64</v>
      </c>
      <c r="D9" s="685">
        <v>73851.60083333333</v>
      </c>
      <c r="E9" s="563">
        <v>-97325.23</v>
      </c>
      <c r="F9" s="529">
        <f t="shared" si="10"/>
        <v>435000</v>
      </c>
      <c r="G9" s="569">
        <v>145000</v>
      </c>
      <c r="H9" s="569">
        <v>145000</v>
      </c>
      <c r="I9" s="704">
        <v>145000</v>
      </c>
      <c r="J9" s="311">
        <v>135734.69</v>
      </c>
      <c r="K9" s="312">
        <v>32407.88</v>
      </c>
      <c r="L9" s="314">
        <v>218406.55</v>
      </c>
      <c r="M9" s="311"/>
      <c r="N9" s="312"/>
      <c r="O9" s="314">
        <v>224677.3</v>
      </c>
      <c r="P9" s="311"/>
      <c r="Q9" s="312"/>
      <c r="R9" s="313"/>
      <c r="S9" s="311">
        <f t="shared" si="2"/>
        <v>135734.69</v>
      </c>
      <c r="T9" s="312">
        <f t="shared" si="3"/>
        <v>32407.88</v>
      </c>
      <c r="U9" s="314">
        <f t="shared" si="4"/>
        <v>443083.85</v>
      </c>
      <c r="W9" s="311">
        <f t="shared" si="5"/>
        <v>135734.69</v>
      </c>
      <c r="X9" s="312">
        <f t="shared" si="6"/>
        <v>32407.88</v>
      </c>
      <c r="Y9" s="313">
        <f t="shared" si="7"/>
        <v>443083.85</v>
      </c>
      <c r="Z9" s="665">
        <f>C9+X9-W9</f>
        <v>380204.83</v>
      </c>
      <c r="AA9" s="311">
        <f>F9-X9</f>
        <v>402592.12</v>
      </c>
      <c r="AB9" s="678"/>
    </row>
    <row r="10" spans="1:28" s="1" customFormat="1" ht="23.25" customHeight="1" thickBot="1">
      <c r="A10" s="719" t="s">
        <v>68</v>
      </c>
      <c r="B10" s="720"/>
      <c r="C10" s="608">
        <f>C9</f>
        <v>483531.64</v>
      </c>
      <c r="D10" s="687">
        <v>276247.73083333333</v>
      </c>
      <c r="E10" s="591">
        <v>-98571.66999999993</v>
      </c>
      <c r="F10" s="572">
        <f aca="true" t="shared" si="12" ref="F10:L10">F8+F9</f>
        <v>1035000</v>
      </c>
      <c r="G10" s="572">
        <f t="shared" si="12"/>
        <v>345000</v>
      </c>
      <c r="H10" s="572">
        <f t="shared" si="12"/>
        <v>345000</v>
      </c>
      <c r="I10" s="572">
        <f t="shared" si="12"/>
        <v>345000</v>
      </c>
      <c r="J10" s="364">
        <f t="shared" si="12"/>
        <v>206506.43</v>
      </c>
      <c r="K10" s="364">
        <f t="shared" si="12"/>
        <v>32407.88</v>
      </c>
      <c r="L10" s="364">
        <f t="shared" si="12"/>
        <v>218406.55</v>
      </c>
      <c r="M10" s="364">
        <f aca="true" t="shared" si="13" ref="M10:U10">M8+M9</f>
        <v>0</v>
      </c>
      <c r="N10" s="364">
        <f t="shared" si="13"/>
        <v>0</v>
      </c>
      <c r="O10" s="364">
        <f t="shared" si="13"/>
        <v>224677.3</v>
      </c>
      <c r="P10" s="364">
        <f t="shared" si="13"/>
        <v>0</v>
      </c>
      <c r="Q10" s="364">
        <f t="shared" si="13"/>
        <v>0</v>
      </c>
      <c r="R10" s="422">
        <f t="shared" si="13"/>
        <v>0</v>
      </c>
      <c r="S10" s="422">
        <f t="shared" si="13"/>
        <v>206506.43</v>
      </c>
      <c r="T10" s="422">
        <f t="shared" si="13"/>
        <v>32407.88</v>
      </c>
      <c r="U10" s="364">
        <f t="shared" si="13"/>
        <v>443083.85</v>
      </c>
      <c r="V10" s="422"/>
      <c r="W10" s="640">
        <f>W8+W9</f>
        <v>206506.43</v>
      </c>
      <c r="X10" s="638">
        <f>X8+X9</f>
        <v>32407.88</v>
      </c>
      <c r="Y10" s="642">
        <f>Y8+Y9</f>
        <v>443083.85</v>
      </c>
      <c r="Z10" s="665"/>
      <c r="AA10" s="311"/>
      <c r="AB10" s="678"/>
    </row>
    <row r="11" spans="1:28" s="1" customFormat="1" ht="18" customHeight="1">
      <c r="A11" s="716" t="s">
        <v>6</v>
      </c>
      <c r="B11" s="7" t="s">
        <v>4</v>
      </c>
      <c r="C11" s="606">
        <v>5049.46</v>
      </c>
      <c r="D11" s="684">
        <v>2251.7566666666667</v>
      </c>
      <c r="E11" s="562">
        <v>-117.44000000000233</v>
      </c>
      <c r="F11" s="529">
        <f t="shared" si="10"/>
        <v>6000</v>
      </c>
      <c r="G11" s="571">
        <v>2000</v>
      </c>
      <c r="H11" s="571">
        <v>2000</v>
      </c>
      <c r="I11" s="703">
        <v>2000</v>
      </c>
      <c r="J11" s="311">
        <v>2185.53</v>
      </c>
      <c r="K11" s="312"/>
      <c r="L11" s="314">
        <v>5436.55</v>
      </c>
      <c r="M11" s="311"/>
      <c r="N11" s="312"/>
      <c r="O11" s="314"/>
      <c r="P11" s="311"/>
      <c r="Q11" s="312"/>
      <c r="R11" s="313"/>
      <c r="S11" s="311">
        <f t="shared" si="2"/>
        <v>2185.53</v>
      </c>
      <c r="T11" s="312">
        <f t="shared" si="3"/>
        <v>0</v>
      </c>
      <c r="U11" s="314">
        <f t="shared" si="4"/>
        <v>5436.55</v>
      </c>
      <c r="W11" s="311">
        <f t="shared" si="5"/>
        <v>2185.53</v>
      </c>
      <c r="X11" s="312">
        <f t="shared" si="6"/>
        <v>0</v>
      </c>
      <c r="Y11" s="313">
        <f t="shared" si="7"/>
        <v>5436.55</v>
      </c>
      <c r="Z11" s="665">
        <f>C11+X11-W11</f>
        <v>2863.93</v>
      </c>
      <c r="AA11" s="311">
        <f>F11-X11</f>
        <v>6000</v>
      </c>
      <c r="AB11" s="678"/>
    </row>
    <row r="12" spans="1:28" s="1" customFormat="1" ht="18" customHeight="1" thickBot="1">
      <c r="A12" s="717"/>
      <c r="B12" s="22" t="s">
        <v>5</v>
      </c>
      <c r="C12" s="607"/>
      <c r="D12" s="685">
        <v>1859782.4750000003</v>
      </c>
      <c r="E12" s="563">
        <v>29789.70000000298</v>
      </c>
      <c r="F12" s="529">
        <f t="shared" si="10"/>
        <v>5572000</v>
      </c>
      <c r="G12" s="569">
        <v>1858000</v>
      </c>
      <c r="H12" s="569">
        <v>1857000</v>
      </c>
      <c r="I12" s="704">
        <v>1857000</v>
      </c>
      <c r="J12" s="311">
        <v>1999911.45</v>
      </c>
      <c r="K12" s="312"/>
      <c r="L12" s="314"/>
      <c r="M12" s="311"/>
      <c r="N12" s="312"/>
      <c r="O12" s="314"/>
      <c r="P12" s="311"/>
      <c r="Q12" s="312"/>
      <c r="R12" s="313"/>
      <c r="S12" s="311">
        <f t="shared" si="2"/>
        <v>1999911.45</v>
      </c>
      <c r="T12" s="312">
        <f t="shared" si="3"/>
        <v>0</v>
      </c>
      <c r="U12" s="314">
        <f t="shared" si="4"/>
        <v>0</v>
      </c>
      <c r="W12" s="311">
        <f t="shared" si="5"/>
        <v>1999911.45</v>
      </c>
      <c r="X12" s="312">
        <f t="shared" si="6"/>
        <v>0</v>
      </c>
      <c r="Y12" s="313">
        <f t="shared" si="7"/>
        <v>0</v>
      </c>
      <c r="Z12" s="665"/>
      <c r="AA12" s="311"/>
      <c r="AB12" s="678">
        <f t="shared" si="11"/>
        <v>3572088.55</v>
      </c>
    </row>
    <row r="13" spans="1:28" s="1" customFormat="1" ht="22.5" customHeight="1" thickBot="1">
      <c r="A13" s="3" t="s">
        <v>8</v>
      </c>
      <c r="B13" s="5" t="s">
        <v>9</v>
      </c>
      <c r="C13" s="609">
        <f>C11</f>
        <v>5049.46</v>
      </c>
      <c r="D13" s="688">
        <v>1862034.2316666667</v>
      </c>
      <c r="E13" s="590">
        <v>183085.81000000297</v>
      </c>
      <c r="F13" s="570">
        <f>F11+F12+184000</f>
        <v>5762000</v>
      </c>
      <c r="G13" s="570">
        <f aca="true" t="shared" si="14" ref="G13:L13">G11+G12</f>
        <v>1860000</v>
      </c>
      <c r="H13" s="570">
        <f t="shared" si="14"/>
        <v>1859000</v>
      </c>
      <c r="I13" s="570">
        <f t="shared" si="14"/>
        <v>1859000</v>
      </c>
      <c r="J13" s="365">
        <f t="shared" si="14"/>
        <v>2002096.98</v>
      </c>
      <c r="K13" s="365">
        <f t="shared" si="14"/>
        <v>0</v>
      </c>
      <c r="L13" s="365">
        <f t="shared" si="14"/>
        <v>5436.55</v>
      </c>
      <c r="M13" s="365">
        <f aca="true" t="shared" si="15" ref="M13:U13">M11+M12</f>
        <v>0</v>
      </c>
      <c r="N13" s="365">
        <f t="shared" si="15"/>
        <v>0</v>
      </c>
      <c r="O13" s="365">
        <f t="shared" si="15"/>
        <v>0</v>
      </c>
      <c r="P13" s="365">
        <f t="shared" si="15"/>
        <v>0</v>
      </c>
      <c r="Q13" s="365">
        <f t="shared" si="15"/>
        <v>0</v>
      </c>
      <c r="R13" s="423">
        <f t="shared" si="15"/>
        <v>0</v>
      </c>
      <c r="S13" s="423">
        <f t="shared" si="15"/>
        <v>2002096.98</v>
      </c>
      <c r="T13" s="423">
        <f t="shared" si="15"/>
        <v>0</v>
      </c>
      <c r="U13" s="365">
        <f t="shared" si="15"/>
        <v>5436.55</v>
      </c>
      <c r="V13" s="423"/>
      <c r="W13" s="641">
        <f>W11+W12+184000</f>
        <v>2186096.98</v>
      </c>
      <c r="X13" s="639">
        <f>X11+X12</f>
        <v>0</v>
      </c>
      <c r="Y13" s="643">
        <f>Y11+Y12</f>
        <v>5436.55</v>
      </c>
      <c r="Z13" s="665"/>
      <c r="AA13" s="311"/>
      <c r="AB13" s="678"/>
    </row>
    <row r="14" spans="1:28" s="1" customFormat="1" ht="16.5" customHeight="1">
      <c r="A14" s="718" t="s">
        <v>6</v>
      </c>
      <c r="B14" s="7" t="s">
        <v>22</v>
      </c>
      <c r="C14" s="606">
        <v>0</v>
      </c>
      <c r="D14" s="684">
        <v>0</v>
      </c>
      <c r="E14" s="562"/>
      <c r="F14" s="529">
        <f t="shared" si="10"/>
        <v>0</v>
      </c>
      <c r="G14" s="571"/>
      <c r="H14" s="571"/>
      <c r="I14" s="703"/>
      <c r="J14" s="311"/>
      <c r="K14" s="312"/>
      <c r="L14" s="314"/>
      <c r="M14" s="311"/>
      <c r="N14" s="312"/>
      <c r="O14" s="314"/>
      <c r="P14" s="311"/>
      <c r="Q14" s="312"/>
      <c r="R14" s="313"/>
      <c r="S14" s="311">
        <f t="shared" si="2"/>
        <v>0</v>
      </c>
      <c r="T14" s="312">
        <f t="shared" si="3"/>
        <v>0</v>
      </c>
      <c r="U14" s="314">
        <f t="shared" si="4"/>
        <v>0</v>
      </c>
      <c r="W14" s="311">
        <f t="shared" si="5"/>
        <v>0</v>
      </c>
      <c r="X14" s="312">
        <f t="shared" si="6"/>
        <v>0</v>
      </c>
      <c r="Y14" s="313">
        <f t="shared" si="7"/>
        <v>0</v>
      </c>
      <c r="Z14" s="665"/>
      <c r="AA14" s="311"/>
      <c r="AB14" s="678"/>
    </row>
    <row r="15" spans="1:28" s="1" customFormat="1" ht="19.5" customHeight="1">
      <c r="A15" s="718"/>
      <c r="B15" s="7" t="s">
        <v>28</v>
      </c>
      <c r="C15" s="610"/>
      <c r="D15" s="689">
        <v>6070</v>
      </c>
      <c r="E15" s="476">
        <v>600</v>
      </c>
      <c r="F15" s="529">
        <f>G15+H15+I15+1000</f>
        <v>20000</v>
      </c>
      <c r="G15" s="573">
        <v>7000</v>
      </c>
      <c r="H15" s="573">
        <v>6000</v>
      </c>
      <c r="I15" s="705">
        <v>6000</v>
      </c>
      <c r="J15" s="311">
        <v>5280</v>
      </c>
      <c r="K15" s="312"/>
      <c r="L15" s="314"/>
      <c r="M15" s="311"/>
      <c r="N15" s="312"/>
      <c r="O15" s="314"/>
      <c r="P15" s="311"/>
      <c r="Q15" s="312"/>
      <c r="R15" s="313"/>
      <c r="S15" s="311">
        <f t="shared" si="2"/>
        <v>5280</v>
      </c>
      <c r="T15" s="312">
        <f t="shared" si="3"/>
        <v>0</v>
      </c>
      <c r="U15" s="314">
        <f t="shared" si="4"/>
        <v>0</v>
      </c>
      <c r="W15" s="311">
        <f>S15+1000</f>
        <v>6280</v>
      </c>
      <c r="X15" s="312">
        <f t="shared" si="6"/>
        <v>0</v>
      </c>
      <c r="Y15" s="313">
        <f t="shared" si="7"/>
        <v>0</v>
      </c>
      <c r="Z15" s="665"/>
      <c r="AA15" s="311"/>
      <c r="AB15" s="678">
        <f t="shared" si="11"/>
        <v>13720</v>
      </c>
    </row>
    <row r="16" spans="1:28" s="1" customFormat="1" ht="20.25" customHeight="1" thickBot="1">
      <c r="A16" s="718"/>
      <c r="B16" s="22" t="s">
        <v>29</v>
      </c>
      <c r="C16" s="607"/>
      <c r="D16" s="685">
        <v>110143.67333333334</v>
      </c>
      <c r="E16" s="563">
        <v>13914.080000000075</v>
      </c>
      <c r="F16" s="529">
        <f>G16+H16+I16+14000</f>
        <v>341000</v>
      </c>
      <c r="G16" s="569">
        <v>109000</v>
      </c>
      <c r="H16" s="569">
        <v>109000</v>
      </c>
      <c r="I16" s="704">
        <v>109000</v>
      </c>
      <c r="J16" s="311">
        <v>118312</v>
      </c>
      <c r="K16" s="312"/>
      <c r="L16" s="314"/>
      <c r="M16" s="311"/>
      <c r="N16" s="312"/>
      <c r="O16" s="314"/>
      <c r="P16" s="311"/>
      <c r="Q16" s="312"/>
      <c r="R16" s="313"/>
      <c r="S16" s="311">
        <f t="shared" si="2"/>
        <v>118312</v>
      </c>
      <c r="T16" s="312">
        <f t="shared" si="3"/>
        <v>0</v>
      </c>
      <c r="U16" s="314">
        <f t="shared" si="4"/>
        <v>0</v>
      </c>
      <c r="W16" s="311">
        <f>S16+14000</f>
        <v>132312</v>
      </c>
      <c r="X16" s="312">
        <f t="shared" si="6"/>
        <v>0</v>
      </c>
      <c r="Y16" s="313">
        <f t="shared" si="7"/>
        <v>0</v>
      </c>
      <c r="Z16" s="665"/>
      <c r="AA16" s="311"/>
      <c r="AB16" s="678">
        <f t="shared" si="11"/>
        <v>208688</v>
      </c>
    </row>
    <row r="17" spans="1:28" s="1" customFormat="1" ht="20.25" customHeight="1" thickBot="1">
      <c r="A17" s="3" t="s">
        <v>8</v>
      </c>
      <c r="B17" s="5" t="s">
        <v>11</v>
      </c>
      <c r="C17" s="644">
        <v>0</v>
      </c>
      <c r="D17" s="690">
        <v>116213.67333333334</v>
      </c>
      <c r="E17" s="645">
        <v>14514.080000000075</v>
      </c>
      <c r="F17" s="570">
        <f aca="true" t="shared" si="16" ref="F17:L17">F15+F16</f>
        <v>361000</v>
      </c>
      <c r="G17" s="646">
        <f t="shared" si="16"/>
        <v>116000</v>
      </c>
      <c r="H17" s="646">
        <f t="shared" si="16"/>
        <v>115000</v>
      </c>
      <c r="I17" s="646">
        <f t="shared" si="16"/>
        <v>115000</v>
      </c>
      <c r="J17" s="647">
        <f t="shared" si="16"/>
        <v>123592</v>
      </c>
      <c r="K17" s="647">
        <f t="shared" si="16"/>
        <v>0</v>
      </c>
      <c r="L17" s="647">
        <f t="shared" si="16"/>
        <v>0</v>
      </c>
      <c r="M17" s="647">
        <f aca="true" t="shared" si="17" ref="M17:U17">M15+M16</f>
        <v>0</v>
      </c>
      <c r="N17" s="647">
        <f t="shared" si="17"/>
        <v>0</v>
      </c>
      <c r="O17" s="647">
        <f t="shared" si="17"/>
        <v>0</v>
      </c>
      <c r="P17" s="647">
        <f t="shared" si="17"/>
        <v>0</v>
      </c>
      <c r="Q17" s="647">
        <f t="shared" si="17"/>
        <v>0</v>
      </c>
      <c r="R17" s="644">
        <f t="shared" si="17"/>
        <v>0</v>
      </c>
      <c r="S17" s="644">
        <f t="shared" si="17"/>
        <v>123592</v>
      </c>
      <c r="T17" s="644">
        <f t="shared" si="17"/>
        <v>0</v>
      </c>
      <c r="U17" s="647">
        <f t="shared" si="17"/>
        <v>0</v>
      </c>
      <c r="V17" s="644"/>
      <c r="W17" s="637">
        <f>W15+W16</f>
        <v>138592</v>
      </c>
      <c r="X17" s="648">
        <f>X15+X16</f>
        <v>0</v>
      </c>
      <c r="Y17" s="649">
        <f>Y15+Y16</f>
        <v>0</v>
      </c>
      <c r="Z17" s="666"/>
      <c r="AA17" s="311"/>
      <c r="AB17" s="678">
        <f t="shared" si="11"/>
        <v>222408</v>
      </c>
    </row>
    <row r="18" spans="1:28" s="1" customFormat="1" ht="21" customHeight="1" thickBot="1">
      <c r="A18" s="723" t="s">
        <v>10</v>
      </c>
      <c r="B18" s="724"/>
      <c r="C18" s="608"/>
      <c r="D18" s="687">
        <v>0</v>
      </c>
      <c r="E18" s="591"/>
      <c r="F18" s="529">
        <f t="shared" si="10"/>
        <v>0</v>
      </c>
      <c r="G18" s="575"/>
      <c r="H18" s="575"/>
      <c r="I18" s="706"/>
      <c r="J18" s="619"/>
      <c r="K18" s="615"/>
      <c r="L18" s="603"/>
      <c r="M18" s="619"/>
      <c r="N18" s="615"/>
      <c r="O18" s="603"/>
      <c r="P18" s="619"/>
      <c r="Q18" s="615"/>
      <c r="R18" s="630"/>
      <c r="S18" s="619">
        <f t="shared" si="2"/>
        <v>0</v>
      </c>
      <c r="T18" s="615">
        <f t="shared" si="3"/>
        <v>0</v>
      </c>
      <c r="U18" s="603">
        <f t="shared" si="4"/>
        <v>0</v>
      </c>
      <c r="V18" s="650"/>
      <c r="W18" s="619">
        <f t="shared" si="5"/>
        <v>0</v>
      </c>
      <c r="X18" s="615">
        <f t="shared" si="6"/>
        <v>0</v>
      </c>
      <c r="Y18" s="630">
        <f t="shared" si="7"/>
        <v>0</v>
      </c>
      <c r="Z18" s="667"/>
      <c r="AA18" s="311"/>
      <c r="AB18" s="678"/>
    </row>
    <row r="19" spans="1:28" s="1" customFormat="1" ht="18" customHeight="1">
      <c r="A19" s="716" t="s">
        <v>35</v>
      </c>
      <c r="B19" s="7" t="s">
        <v>12</v>
      </c>
      <c r="C19" s="606">
        <v>25675.69</v>
      </c>
      <c r="D19" s="684">
        <v>5790.2425</v>
      </c>
      <c r="E19" s="562">
        <v>-13179.77</v>
      </c>
      <c r="F19" s="529">
        <f t="shared" si="10"/>
        <v>9000</v>
      </c>
      <c r="G19" s="571">
        <v>3000</v>
      </c>
      <c r="H19" s="571">
        <v>3000</v>
      </c>
      <c r="I19" s="703">
        <v>3000</v>
      </c>
      <c r="J19" s="327">
        <v>0</v>
      </c>
      <c r="K19" s="328"/>
      <c r="L19" s="440"/>
      <c r="M19" s="327"/>
      <c r="N19" s="328"/>
      <c r="O19" s="440"/>
      <c r="P19" s="327"/>
      <c r="Q19" s="328"/>
      <c r="R19" s="334"/>
      <c r="S19" s="327">
        <f t="shared" si="2"/>
        <v>0</v>
      </c>
      <c r="T19" s="328">
        <f t="shared" si="3"/>
        <v>0</v>
      </c>
      <c r="U19" s="440">
        <f t="shared" si="4"/>
        <v>0</v>
      </c>
      <c r="W19" s="327">
        <f t="shared" si="5"/>
        <v>0</v>
      </c>
      <c r="X19" s="328">
        <f t="shared" si="6"/>
        <v>0</v>
      </c>
      <c r="Y19" s="334">
        <f t="shared" si="7"/>
        <v>0</v>
      </c>
      <c r="Z19" s="664">
        <f>C19+X19-W19</f>
        <v>25675.69</v>
      </c>
      <c r="AA19" s="311">
        <f>F19-X19</f>
        <v>9000</v>
      </c>
      <c r="AB19" s="678">
        <f t="shared" si="11"/>
        <v>9000</v>
      </c>
    </row>
    <row r="20" spans="1:28" s="1" customFormat="1" ht="18" customHeight="1" thickBot="1">
      <c r="A20" s="717"/>
      <c r="B20" s="22" t="s">
        <v>13</v>
      </c>
      <c r="C20" s="607">
        <v>17566.22</v>
      </c>
      <c r="D20" s="685">
        <v>8237.859166666667</v>
      </c>
      <c r="E20" s="563">
        <v>-3451.75</v>
      </c>
      <c r="F20" s="529">
        <f t="shared" si="10"/>
        <v>27000</v>
      </c>
      <c r="G20" s="569">
        <v>9000</v>
      </c>
      <c r="H20" s="569">
        <v>9000</v>
      </c>
      <c r="I20" s="704">
        <v>9000</v>
      </c>
      <c r="J20" s="311">
        <v>8320.84</v>
      </c>
      <c r="K20" s="312"/>
      <c r="L20" s="314"/>
      <c r="M20" s="311"/>
      <c r="N20" s="312"/>
      <c r="O20" s="314">
        <v>25886.95</v>
      </c>
      <c r="P20" s="311"/>
      <c r="Q20" s="312"/>
      <c r="R20" s="313"/>
      <c r="S20" s="311">
        <f t="shared" si="2"/>
        <v>8320.84</v>
      </c>
      <c r="T20" s="312">
        <f t="shared" si="3"/>
        <v>0</v>
      </c>
      <c r="U20" s="314">
        <f t="shared" si="4"/>
        <v>25886.95</v>
      </c>
      <c r="W20" s="311">
        <f t="shared" si="5"/>
        <v>8320.84</v>
      </c>
      <c r="X20" s="312">
        <f t="shared" si="6"/>
        <v>0</v>
      </c>
      <c r="Y20" s="313">
        <f t="shared" si="7"/>
        <v>25886.95</v>
      </c>
      <c r="Z20" s="665">
        <f>C20+X20-W20</f>
        <v>9245.380000000001</v>
      </c>
      <c r="AA20" s="311">
        <f>F20-X20</f>
        <v>27000</v>
      </c>
      <c r="AB20" s="678">
        <f t="shared" si="11"/>
        <v>18679.16</v>
      </c>
    </row>
    <row r="21" spans="1:28" s="1" customFormat="1" ht="19.5" customHeight="1" thickBot="1">
      <c r="A21" s="723" t="s">
        <v>14</v>
      </c>
      <c r="B21" s="724"/>
      <c r="C21" s="423">
        <v>43241.92</v>
      </c>
      <c r="D21" s="686">
        <v>14028.10166666667</v>
      </c>
      <c r="E21" s="423">
        <v>-16631.52</v>
      </c>
      <c r="F21" s="570">
        <f aca="true" t="shared" si="18" ref="F21:L21">F19+F20</f>
        <v>36000</v>
      </c>
      <c r="G21" s="570">
        <f t="shared" si="18"/>
        <v>12000</v>
      </c>
      <c r="H21" s="570">
        <f t="shared" si="18"/>
        <v>12000</v>
      </c>
      <c r="I21" s="570">
        <f t="shared" si="18"/>
        <v>12000</v>
      </c>
      <c r="J21" s="365">
        <f t="shared" si="18"/>
        <v>8320.84</v>
      </c>
      <c r="K21" s="365">
        <f t="shared" si="18"/>
        <v>0</v>
      </c>
      <c r="L21" s="365">
        <f t="shared" si="18"/>
        <v>0</v>
      </c>
      <c r="M21" s="365">
        <f aca="true" t="shared" si="19" ref="M21:U21">M19+M20</f>
        <v>0</v>
      </c>
      <c r="N21" s="365">
        <f t="shared" si="19"/>
        <v>0</v>
      </c>
      <c r="O21" s="365">
        <f t="shared" si="19"/>
        <v>25886.95</v>
      </c>
      <c r="P21" s="365">
        <f t="shared" si="19"/>
        <v>0</v>
      </c>
      <c r="Q21" s="365">
        <f t="shared" si="19"/>
        <v>0</v>
      </c>
      <c r="R21" s="423">
        <f t="shared" si="19"/>
        <v>0</v>
      </c>
      <c r="S21" s="423">
        <f t="shared" si="19"/>
        <v>8320.84</v>
      </c>
      <c r="T21" s="423">
        <f t="shared" si="19"/>
        <v>0</v>
      </c>
      <c r="U21" s="365">
        <f t="shared" si="19"/>
        <v>25886.95</v>
      </c>
      <c r="V21" s="423"/>
      <c r="W21" s="641">
        <f aca="true" t="shared" si="20" ref="W21:AB21">W19+W20</f>
        <v>8320.84</v>
      </c>
      <c r="X21" s="639">
        <f t="shared" si="20"/>
        <v>0</v>
      </c>
      <c r="Y21" s="643">
        <f t="shared" si="20"/>
        <v>25886.95</v>
      </c>
      <c r="Z21" s="668">
        <f t="shared" si="20"/>
        <v>34921.07</v>
      </c>
      <c r="AA21" s="643">
        <f t="shared" si="20"/>
        <v>36000</v>
      </c>
      <c r="AB21" s="679">
        <f t="shared" si="20"/>
        <v>27679.16</v>
      </c>
    </row>
    <row r="22" spans="1:28" s="1" customFormat="1" ht="18" customHeight="1">
      <c r="A22" s="716" t="s">
        <v>34</v>
      </c>
      <c r="B22" s="7" t="s">
        <v>0</v>
      </c>
      <c r="C22" s="606"/>
      <c r="D22" s="684">
        <v>2450.7866666666664</v>
      </c>
      <c r="E22" s="566">
        <v>1689.44</v>
      </c>
      <c r="F22" s="529">
        <f>G22+H22+I22+2000</f>
        <v>8000</v>
      </c>
      <c r="G22" s="571">
        <v>2000</v>
      </c>
      <c r="H22" s="571">
        <v>2000</v>
      </c>
      <c r="I22" s="703">
        <v>2000</v>
      </c>
      <c r="J22" s="311">
        <v>2197.13</v>
      </c>
      <c r="K22" s="312"/>
      <c r="L22" s="314"/>
      <c r="M22" s="311"/>
      <c r="N22" s="312"/>
      <c r="O22" s="314"/>
      <c r="P22" s="311"/>
      <c r="Q22" s="312"/>
      <c r="R22" s="313"/>
      <c r="S22" s="311">
        <f t="shared" si="2"/>
        <v>2197.13</v>
      </c>
      <c r="T22" s="312">
        <f t="shared" si="3"/>
        <v>0</v>
      </c>
      <c r="U22" s="314">
        <f t="shared" si="4"/>
        <v>0</v>
      </c>
      <c r="W22" s="311">
        <f>S22+2000</f>
        <v>4197.13</v>
      </c>
      <c r="X22" s="312">
        <f t="shared" si="6"/>
        <v>0</v>
      </c>
      <c r="Y22" s="313">
        <f t="shared" si="7"/>
        <v>0</v>
      </c>
      <c r="Z22" s="665"/>
      <c r="AA22" s="311"/>
      <c r="AB22" s="678">
        <f t="shared" si="11"/>
        <v>3802.87</v>
      </c>
    </row>
    <row r="23" spans="1:28" s="1" customFormat="1" ht="19.5" customHeight="1">
      <c r="A23" s="718"/>
      <c r="B23" s="24" t="s">
        <v>30</v>
      </c>
      <c r="C23" s="610">
        <v>131277.55</v>
      </c>
      <c r="D23" s="689">
        <v>100447.21416666667</v>
      </c>
      <c r="E23" s="476">
        <v>-59690.46</v>
      </c>
      <c r="F23" s="529">
        <f t="shared" si="10"/>
        <v>0</v>
      </c>
      <c r="G23" s="573">
        <v>108000</v>
      </c>
      <c r="H23" s="573">
        <v>108000</v>
      </c>
      <c r="I23" s="705">
        <v>-216000</v>
      </c>
      <c r="J23" s="311">
        <v>71605.94</v>
      </c>
      <c r="K23" s="312"/>
      <c r="L23" s="314">
        <v>95462.4</v>
      </c>
      <c r="M23" s="311"/>
      <c r="N23" s="312"/>
      <c r="O23" s="314">
        <v>143211.87</v>
      </c>
      <c r="P23" s="311"/>
      <c r="Q23" s="312"/>
      <c r="R23" s="313"/>
      <c r="S23" s="311">
        <f t="shared" si="2"/>
        <v>71605.94</v>
      </c>
      <c r="T23" s="312">
        <f t="shared" si="3"/>
        <v>0</v>
      </c>
      <c r="U23" s="314">
        <f t="shared" si="4"/>
        <v>238674.27</v>
      </c>
      <c r="W23" s="311">
        <f t="shared" si="5"/>
        <v>71605.94</v>
      </c>
      <c r="X23" s="312">
        <f t="shared" si="6"/>
        <v>0</v>
      </c>
      <c r="Y23" s="313">
        <f t="shared" si="7"/>
        <v>238674.27</v>
      </c>
      <c r="Z23" s="665">
        <f>C23+X23-W23</f>
        <v>59671.609999999986</v>
      </c>
      <c r="AA23" s="311">
        <f>F23-X23</f>
        <v>0</v>
      </c>
      <c r="AB23" s="678"/>
    </row>
    <row r="24" spans="1:28" s="1" customFormat="1" ht="15.75" customHeight="1">
      <c r="A24" s="718"/>
      <c r="B24" s="25" t="s">
        <v>31</v>
      </c>
      <c r="C24" s="610"/>
      <c r="D24" s="689">
        <v>6308.915</v>
      </c>
      <c r="E24" s="476">
        <v>-9827.64</v>
      </c>
      <c r="F24" s="529">
        <f t="shared" si="10"/>
        <v>24000</v>
      </c>
      <c r="G24" s="573">
        <v>8000</v>
      </c>
      <c r="H24" s="573">
        <v>8000</v>
      </c>
      <c r="I24" s="705">
        <v>8000</v>
      </c>
      <c r="J24" s="311"/>
      <c r="K24" s="312"/>
      <c r="L24" s="314"/>
      <c r="M24" s="311"/>
      <c r="N24" s="312"/>
      <c r="O24" s="314"/>
      <c r="P24" s="311"/>
      <c r="Q24" s="312"/>
      <c r="R24" s="313"/>
      <c r="S24" s="311">
        <f t="shared" si="2"/>
        <v>0</v>
      </c>
      <c r="T24" s="312">
        <f t="shared" si="3"/>
        <v>0</v>
      </c>
      <c r="U24" s="314">
        <f t="shared" si="4"/>
        <v>0</v>
      </c>
      <c r="W24" s="311">
        <f t="shared" si="5"/>
        <v>0</v>
      </c>
      <c r="X24" s="312">
        <f t="shared" si="6"/>
        <v>0</v>
      </c>
      <c r="Y24" s="313">
        <f t="shared" si="7"/>
        <v>0</v>
      </c>
      <c r="Z24" s="665"/>
      <c r="AA24" s="311"/>
      <c r="AB24" s="678">
        <f t="shared" si="11"/>
        <v>24000</v>
      </c>
    </row>
    <row r="25" spans="1:28" s="1" customFormat="1" ht="15.75" customHeight="1">
      <c r="A25" s="718"/>
      <c r="B25" s="25" t="s">
        <v>55</v>
      </c>
      <c r="C25" s="610"/>
      <c r="D25" s="689">
        <v>209051.31</v>
      </c>
      <c r="E25" s="567">
        <v>192965.72</v>
      </c>
      <c r="F25" s="529">
        <f>G25+H25+I25+193000</f>
        <v>772000</v>
      </c>
      <c r="G25" s="573">
        <v>193000</v>
      </c>
      <c r="H25" s="573">
        <v>193000</v>
      </c>
      <c r="I25" s="705">
        <v>193000</v>
      </c>
      <c r="J25" s="311">
        <v>181669.13</v>
      </c>
      <c r="K25" s="312"/>
      <c r="L25" s="314"/>
      <c r="M25" s="311"/>
      <c r="N25" s="312"/>
      <c r="O25" s="314"/>
      <c r="P25" s="311"/>
      <c r="Q25" s="312"/>
      <c r="R25" s="313"/>
      <c r="S25" s="311">
        <f t="shared" si="2"/>
        <v>181669.13</v>
      </c>
      <c r="T25" s="312">
        <f t="shared" si="3"/>
        <v>0</v>
      </c>
      <c r="U25" s="314">
        <f t="shared" si="4"/>
        <v>0</v>
      </c>
      <c r="W25" s="311">
        <f>S25+193000</f>
        <v>374669.13</v>
      </c>
      <c r="X25" s="312">
        <f t="shared" si="6"/>
        <v>0</v>
      </c>
      <c r="Y25" s="313">
        <f t="shared" si="7"/>
        <v>0</v>
      </c>
      <c r="Z25" s="665"/>
      <c r="AA25" s="311"/>
      <c r="AB25" s="678">
        <f t="shared" si="11"/>
        <v>397330.87</v>
      </c>
    </row>
    <row r="26" spans="1:28" s="1" customFormat="1" ht="15.75" customHeight="1">
      <c r="A26" s="718"/>
      <c r="B26" s="25" t="s">
        <v>41</v>
      </c>
      <c r="C26" s="610"/>
      <c r="D26" s="689">
        <v>1987.9591666666668</v>
      </c>
      <c r="E26" s="476">
        <v>-8144.49</v>
      </c>
      <c r="F26" s="529">
        <f t="shared" si="10"/>
        <v>9000</v>
      </c>
      <c r="G26" s="573">
        <v>3000</v>
      </c>
      <c r="H26" s="573">
        <v>3000</v>
      </c>
      <c r="I26" s="705">
        <v>3000</v>
      </c>
      <c r="J26" s="311">
        <v>166.98</v>
      </c>
      <c r="K26" s="312"/>
      <c r="L26" s="314"/>
      <c r="M26" s="311"/>
      <c r="N26" s="312"/>
      <c r="O26" s="314"/>
      <c r="P26" s="311"/>
      <c r="Q26" s="312"/>
      <c r="R26" s="313"/>
      <c r="S26" s="311">
        <f t="shared" si="2"/>
        <v>166.98</v>
      </c>
      <c r="T26" s="312">
        <f t="shared" si="3"/>
        <v>0</v>
      </c>
      <c r="U26" s="314">
        <f t="shared" si="4"/>
        <v>0</v>
      </c>
      <c r="W26" s="311">
        <f t="shared" si="5"/>
        <v>166.98</v>
      </c>
      <c r="X26" s="312">
        <f t="shared" si="6"/>
        <v>0</v>
      </c>
      <c r="Y26" s="313">
        <f t="shared" si="7"/>
        <v>0</v>
      </c>
      <c r="Z26" s="665"/>
      <c r="AA26" s="311"/>
      <c r="AB26" s="678">
        <f t="shared" si="11"/>
        <v>8833.02</v>
      </c>
    </row>
    <row r="27" spans="1:28" s="1" customFormat="1" ht="21.75" customHeight="1" thickBot="1">
      <c r="A27" s="717"/>
      <c r="B27" s="24" t="s">
        <v>15</v>
      </c>
      <c r="C27" s="607"/>
      <c r="D27" s="685">
        <v>28668.361666666664</v>
      </c>
      <c r="E27" s="563">
        <v>-462.2900000000318</v>
      </c>
      <c r="F27" s="529">
        <f t="shared" si="10"/>
        <v>90000</v>
      </c>
      <c r="G27" s="569">
        <v>30000</v>
      </c>
      <c r="H27" s="569">
        <v>30000</v>
      </c>
      <c r="I27" s="704">
        <v>30000</v>
      </c>
      <c r="J27" s="311">
        <v>20168.15</v>
      </c>
      <c r="K27" s="312"/>
      <c r="L27" s="314"/>
      <c r="M27" s="311"/>
      <c r="N27" s="312"/>
      <c r="O27" s="314"/>
      <c r="P27" s="311"/>
      <c r="Q27" s="312"/>
      <c r="R27" s="313"/>
      <c r="S27" s="311">
        <f t="shared" si="2"/>
        <v>20168.15</v>
      </c>
      <c r="T27" s="312">
        <f t="shared" si="3"/>
        <v>0</v>
      </c>
      <c r="U27" s="314">
        <f t="shared" si="4"/>
        <v>0</v>
      </c>
      <c r="W27" s="616">
        <f t="shared" si="5"/>
        <v>20168.15</v>
      </c>
      <c r="X27" s="617">
        <f t="shared" si="6"/>
        <v>0</v>
      </c>
      <c r="Y27" s="629">
        <f t="shared" si="7"/>
        <v>0</v>
      </c>
      <c r="Z27" s="666"/>
      <c r="AA27" s="311"/>
      <c r="AB27" s="678">
        <f t="shared" si="11"/>
        <v>69831.85</v>
      </c>
    </row>
    <row r="28" spans="1:28" s="1" customFormat="1" ht="19.5" customHeight="1" thickBot="1">
      <c r="A28" s="723" t="s">
        <v>16</v>
      </c>
      <c r="B28" s="724"/>
      <c r="C28" s="608">
        <v>131277.55</v>
      </c>
      <c r="D28" s="687">
        <v>348914.54666666663</v>
      </c>
      <c r="E28" s="591">
        <v>116530.28</v>
      </c>
      <c r="F28" s="570">
        <f aca="true" t="shared" si="21" ref="F28:L28">F22+F23+F24+F25+F26+F27</f>
        <v>903000</v>
      </c>
      <c r="G28" s="570">
        <f t="shared" si="21"/>
        <v>344000</v>
      </c>
      <c r="H28" s="570">
        <f t="shared" si="21"/>
        <v>344000</v>
      </c>
      <c r="I28" s="570">
        <f t="shared" si="21"/>
        <v>20000</v>
      </c>
      <c r="J28" s="365">
        <f t="shared" si="21"/>
        <v>275807.33</v>
      </c>
      <c r="K28" s="365">
        <f t="shared" si="21"/>
        <v>0</v>
      </c>
      <c r="L28" s="365">
        <f t="shared" si="21"/>
        <v>95462.4</v>
      </c>
      <c r="M28" s="365">
        <f aca="true" t="shared" si="22" ref="M28:U28">M22+M23+M24+M25+M26+M27</f>
        <v>0</v>
      </c>
      <c r="N28" s="365">
        <f t="shared" si="22"/>
        <v>0</v>
      </c>
      <c r="O28" s="365">
        <f t="shared" si="22"/>
        <v>143211.87</v>
      </c>
      <c r="P28" s="365">
        <f t="shared" si="22"/>
        <v>0</v>
      </c>
      <c r="Q28" s="365">
        <f t="shared" si="22"/>
        <v>0</v>
      </c>
      <c r="R28" s="423">
        <f t="shared" si="22"/>
        <v>0</v>
      </c>
      <c r="S28" s="423">
        <f t="shared" si="22"/>
        <v>275807.33</v>
      </c>
      <c r="T28" s="423">
        <f t="shared" si="22"/>
        <v>0</v>
      </c>
      <c r="U28" s="365">
        <f t="shared" si="22"/>
        <v>238674.27</v>
      </c>
      <c r="V28" s="423"/>
      <c r="W28" s="636">
        <f>W22+W23+W24+W25+W26+W27</f>
        <v>470807.33</v>
      </c>
      <c r="X28" s="651">
        <f>X22+X23+X24+X25+X26+X27</f>
        <v>0</v>
      </c>
      <c r="Y28" s="652">
        <f>Y22+Y23+Y24+Y25+Y26+Y27</f>
        <v>238674.27</v>
      </c>
      <c r="Z28" s="667"/>
      <c r="AA28" s="311"/>
      <c r="AB28" s="678"/>
    </row>
    <row r="29" spans="1:28" s="1" customFormat="1" ht="17.25" customHeight="1">
      <c r="A29" s="716" t="s">
        <v>17</v>
      </c>
      <c r="B29" s="7" t="s">
        <v>24</v>
      </c>
      <c r="C29" s="606"/>
      <c r="D29" s="684">
        <v>0</v>
      </c>
      <c r="E29" s="562"/>
      <c r="F29" s="529">
        <f t="shared" si="10"/>
        <v>0</v>
      </c>
      <c r="G29" s="571"/>
      <c r="H29" s="571"/>
      <c r="I29" s="703"/>
      <c r="J29" s="311"/>
      <c r="K29" s="312"/>
      <c r="L29" s="314"/>
      <c r="M29" s="311"/>
      <c r="N29" s="312"/>
      <c r="O29" s="314"/>
      <c r="P29" s="311"/>
      <c r="Q29" s="312"/>
      <c r="R29" s="313"/>
      <c r="S29" s="311">
        <f t="shared" si="2"/>
        <v>0</v>
      </c>
      <c r="T29" s="312">
        <f t="shared" si="3"/>
        <v>0</v>
      </c>
      <c r="U29" s="314">
        <f t="shared" si="4"/>
        <v>0</v>
      </c>
      <c r="W29" s="327">
        <f t="shared" si="5"/>
        <v>0</v>
      </c>
      <c r="X29" s="328">
        <f t="shared" si="6"/>
        <v>0</v>
      </c>
      <c r="Y29" s="334">
        <f t="shared" si="7"/>
        <v>0</v>
      </c>
      <c r="Z29" s="664"/>
      <c r="AA29" s="311"/>
      <c r="AB29" s="678"/>
    </row>
    <row r="30" spans="1:28" s="1" customFormat="1" ht="17.25" customHeight="1">
      <c r="A30" s="718"/>
      <c r="B30" s="7" t="s">
        <v>23</v>
      </c>
      <c r="C30" s="610">
        <v>5160.1</v>
      </c>
      <c r="D30" s="689">
        <v>7573.052500000001</v>
      </c>
      <c r="E30" s="476">
        <v>-4.940000000002328</v>
      </c>
      <c r="F30" s="529">
        <f t="shared" si="10"/>
        <v>19000</v>
      </c>
      <c r="G30" s="573">
        <v>7000</v>
      </c>
      <c r="H30" s="573">
        <v>6000</v>
      </c>
      <c r="I30" s="705">
        <v>6000</v>
      </c>
      <c r="J30" s="311">
        <v>3528.17</v>
      </c>
      <c r="K30" s="312">
        <v>838.7</v>
      </c>
      <c r="L30" s="314">
        <v>21298.46</v>
      </c>
      <c r="M30" s="311"/>
      <c r="N30" s="312"/>
      <c r="O30" s="314">
        <v>3841.54</v>
      </c>
      <c r="P30" s="311"/>
      <c r="Q30" s="312"/>
      <c r="R30" s="313"/>
      <c r="S30" s="311">
        <f t="shared" si="2"/>
        <v>3528.17</v>
      </c>
      <c r="T30" s="312">
        <f t="shared" si="3"/>
        <v>838.7</v>
      </c>
      <c r="U30" s="314">
        <f t="shared" si="4"/>
        <v>25140</v>
      </c>
      <c r="W30" s="311">
        <f t="shared" si="5"/>
        <v>3528.17</v>
      </c>
      <c r="X30" s="312">
        <f t="shared" si="6"/>
        <v>838.7</v>
      </c>
      <c r="Y30" s="313">
        <f t="shared" si="7"/>
        <v>25140</v>
      </c>
      <c r="Z30" s="665">
        <f>C30+X30-W30</f>
        <v>2470.63</v>
      </c>
      <c r="AA30" s="311">
        <f>F30-X30</f>
        <v>18161.3</v>
      </c>
      <c r="AB30" s="678"/>
    </row>
    <row r="31" spans="1:28" s="1" customFormat="1" ht="17.25" customHeight="1" thickBot="1">
      <c r="A31" s="718"/>
      <c r="B31" s="22" t="s">
        <v>25</v>
      </c>
      <c r="C31" s="607">
        <v>13.84</v>
      </c>
      <c r="D31" s="685">
        <v>33.41</v>
      </c>
      <c r="E31" s="563">
        <v>-15.04</v>
      </c>
      <c r="F31" s="597">
        <f t="shared" si="10"/>
        <v>1000</v>
      </c>
      <c r="G31" s="569">
        <v>1000</v>
      </c>
      <c r="H31" s="569">
        <v>0</v>
      </c>
      <c r="I31" s="704">
        <v>0</v>
      </c>
      <c r="J31" s="311">
        <v>13.84</v>
      </c>
      <c r="K31" s="312"/>
      <c r="L31" s="314"/>
      <c r="M31" s="311"/>
      <c r="N31" s="312"/>
      <c r="O31" s="314"/>
      <c r="P31" s="311"/>
      <c r="Q31" s="312"/>
      <c r="R31" s="313"/>
      <c r="S31" s="311">
        <f t="shared" si="2"/>
        <v>13.84</v>
      </c>
      <c r="T31" s="312">
        <f t="shared" si="3"/>
        <v>0</v>
      </c>
      <c r="U31" s="314">
        <f t="shared" si="4"/>
        <v>0</v>
      </c>
      <c r="W31" s="311">
        <f t="shared" si="5"/>
        <v>13.84</v>
      </c>
      <c r="X31" s="312">
        <f t="shared" si="6"/>
        <v>0</v>
      </c>
      <c r="Y31" s="313">
        <f t="shared" si="7"/>
        <v>0</v>
      </c>
      <c r="Z31" s="666">
        <f>C31+X31-W31</f>
        <v>0</v>
      </c>
      <c r="AA31" s="311">
        <f>F31-X31</f>
        <v>1000</v>
      </c>
      <c r="AB31" s="678"/>
    </row>
    <row r="32" spans="1:28" s="1" customFormat="1" ht="19.5" customHeight="1" thickBot="1">
      <c r="A32" s="725" t="s">
        <v>18</v>
      </c>
      <c r="B32" s="726"/>
      <c r="C32" s="423">
        <f>C30+C31</f>
        <v>5173.9400000000005</v>
      </c>
      <c r="D32" s="686">
        <v>7606.462500000001</v>
      </c>
      <c r="E32" s="423">
        <v>-19.980000000002292</v>
      </c>
      <c r="F32" s="570">
        <f aca="true" t="shared" si="23" ref="F32:L32">F30+F31</f>
        <v>20000</v>
      </c>
      <c r="G32" s="570">
        <f t="shared" si="23"/>
        <v>8000</v>
      </c>
      <c r="H32" s="570">
        <f t="shared" si="23"/>
        <v>6000</v>
      </c>
      <c r="I32" s="570">
        <f t="shared" si="23"/>
        <v>6000</v>
      </c>
      <c r="J32" s="366">
        <f t="shared" si="23"/>
        <v>3542.01</v>
      </c>
      <c r="K32" s="366">
        <f t="shared" si="23"/>
        <v>838.7</v>
      </c>
      <c r="L32" s="366">
        <f t="shared" si="23"/>
        <v>21298.46</v>
      </c>
      <c r="M32" s="366">
        <f aca="true" t="shared" si="24" ref="M32:U32">M30+M31</f>
        <v>0</v>
      </c>
      <c r="N32" s="366">
        <f t="shared" si="24"/>
        <v>0</v>
      </c>
      <c r="O32" s="366">
        <f t="shared" si="24"/>
        <v>3841.54</v>
      </c>
      <c r="P32" s="366">
        <f t="shared" si="24"/>
        <v>0</v>
      </c>
      <c r="Q32" s="366">
        <f t="shared" si="24"/>
        <v>0</v>
      </c>
      <c r="R32" s="424">
        <f t="shared" si="24"/>
        <v>0</v>
      </c>
      <c r="S32" s="424">
        <f t="shared" si="24"/>
        <v>3542.01</v>
      </c>
      <c r="T32" s="424">
        <f t="shared" si="24"/>
        <v>838.7</v>
      </c>
      <c r="U32" s="366">
        <f t="shared" si="24"/>
        <v>25140</v>
      </c>
      <c r="V32" s="424"/>
      <c r="W32" s="641">
        <f>W30+W31</f>
        <v>3542.01</v>
      </c>
      <c r="X32" s="639">
        <f>X30+X31</f>
        <v>838.7</v>
      </c>
      <c r="Y32" s="643">
        <f>Y30+Y31</f>
        <v>25140</v>
      </c>
      <c r="Z32" s="668">
        <f>Z30+Z31</f>
        <v>2470.63</v>
      </c>
      <c r="AA32" s="643">
        <f>AA30+AA31</f>
        <v>19161.3</v>
      </c>
      <c r="AB32" s="678"/>
    </row>
    <row r="33" spans="1:28" s="1" customFormat="1" ht="21.75" customHeight="1" thickBot="1">
      <c r="A33" s="725" t="s">
        <v>26</v>
      </c>
      <c r="B33" s="726"/>
      <c r="C33" s="711"/>
      <c r="D33" s="712">
        <v>61777.71333333334</v>
      </c>
      <c r="E33" s="713">
        <v>-13987.439999999944</v>
      </c>
      <c r="F33" s="601">
        <f t="shared" si="10"/>
        <v>189000</v>
      </c>
      <c r="G33" s="576">
        <v>63000</v>
      </c>
      <c r="H33" s="576">
        <v>63000</v>
      </c>
      <c r="I33" s="707">
        <v>63000</v>
      </c>
      <c r="J33" s="616">
        <v>63286.21</v>
      </c>
      <c r="K33" s="617"/>
      <c r="L33" s="618"/>
      <c r="M33" s="616"/>
      <c r="N33" s="617"/>
      <c r="O33" s="618"/>
      <c r="P33" s="616"/>
      <c r="Q33" s="617"/>
      <c r="R33" s="629"/>
      <c r="S33" s="616">
        <f t="shared" si="2"/>
        <v>63286.21</v>
      </c>
      <c r="T33" s="617">
        <f t="shared" si="3"/>
        <v>0</v>
      </c>
      <c r="U33" s="618">
        <f t="shared" si="4"/>
        <v>0</v>
      </c>
      <c r="W33" s="311">
        <f t="shared" si="5"/>
        <v>63286.21</v>
      </c>
      <c r="X33" s="312">
        <f t="shared" si="6"/>
        <v>0</v>
      </c>
      <c r="Y33" s="313">
        <f t="shared" si="7"/>
        <v>0</v>
      </c>
      <c r="Z33" s="664"/>
      <c r="AA33" s="311"/>
      <c r="AB33" s="678">
        <f t="shared" si="11"/>
        <v>125713.79000000001</v>
      </c>
    </row>
    <row r="34" spans="1:28" s="1" customFormat="1" ht="21" customHeight="1" thickBot="1">
      <c r="A34" s="719" t="s">
        <v>27</v>
      </c>
      <c r="B34" s="720"/>
      <c r="C34" s="609">
        <v>96623.04999999993</v>
      </c>
      <c r="D34" s="688">
        <v>22255.347500000003</v>
      </c>
      <c r="E34" s="589">
        <v>-117.3300000000163</v>
      </c>
      <c r="F34" s="602">
        <f t="shared" si="10"/>
        <v>57000</v>
      </c>
      <c r="G34" s="575">
        <v>19000</v>
      </c>
      <c r="H34" s="575">
        <v>19000</v>
      </c>
      <c r="I34" s="706">
        <v>19000</v>
      </c>
      <c r="J34" s="619">
        <v>32563.75</v>
      </c>
      <c r="K34" s="615"/>
      <c r="L34" s="603">
        <v>8796.56</v>
      </c>
      <c r="M34" s="619"/>
      <c r="N34" s="615"/>
      <c r="O34" s="603">
        <v>34592.24</v>
      </c>
      <c r="P34" s="619"/>
      <c r="Q34" s="615"/>
      <c r="R34" s="630"/>
      <c r="S34" s="619">
        <f t="shared" si="2"/>
        <v>32563.75</v>
      </c>
      <c r="T34" s="615">
        <f t="shared" si="3"/>
        <v>0</v>
      </c>
      <c r="U34" s="603">
        <f t="shared" si="4"/>
        <v>43388.799999999996</v>
      </c>
      <c r="V34" s="633"/>
      <c r="W34" s="616">
        <f t="shared" si="5"/>
        <v>32563.75</v>
      </c>
      <c r="X34" s="617">
        <f t="shared" si="6"/>
        <v>0</v>
      </c>
      <c r="Y34" s="629">
        <f t="shared" si="7"/>
        <v>43388.799999999996</v>
      </c>
      <c r="Z34" s="665">
        <f>C34+X34-W34</f>
        <v>64059.29999999993</v>
      </c>
      <c r="AA34" s="311">
        <f>F34-X34</f>
        <v>57000</v>
      </c>
      <c r="AB34" s="678"/>
    </row>
    <row r="35" spans="1:28" s="1" customFormat="1" ht="25.5" customHeight="1" thickBot="1">
      <c r="A35" s="730" t="s">
        <v>46</v>
      </c>
      <c r="B35" s="731"/>
      <c r="C35" s="613"/>
      <c r="D35" s="691">
        <v>65224</v>
      </c>
      <c r="E35" s="564">
        <v>-2480</v>
      </c>
      <c r="F35" s="570">
        <f t="shared" si="10"/>
        <v>116064</v>
      </c>
      <c r="G35" s="620">
        <v>38688</v>
      </c>
      <c r="H35" s="620">
        <v>38688</v>
      </c>
      <c r="I35" s="708">
        <v>38688</v>
      </c>
      <c r="J35" s="621">
        <v>33728</v>
      </c>
      <c r="K35" s="622"/>
      <c r="L35" s="623">
        <v>31248</v>
      </c>
      <c r="M35" s="621"/>
      <c r="N35" s="622"/>
      <c r="O35" s="623">
        <f>33728+110112</f>
        <v>143840</v>
      </c>
      <c r="P35" s="621"/>
      <c r="Q35" s="622"/>
      <c r="R35" s="631"/>
      <c r="S35" s="621">
        <f t="shared" si="2"/>
        <v>33728</v>
      </c>
      <c r="T35" s="622">
        <f t="shared" si="3"/>
        <v>0</v>
      </c>
      <c r="U35" s="623">
        <f t="shared" si="4"/>
        <v>175088</v>
      </c>
      <c r="W35" s="619">
        <f t="shared" si="5"/>
        <v>33728</v>
      </c>
      <c r="X35" s="615">
        <f t="shared" si="6"/>
        <v>0</v>
      </c>
      <c r="Y35" s="630">
        <f t="shared" si="7"/>
        <v>175088</v>
      </c>
      <c r="Z35" s="665"/>
      <c r="AA35" s="311"/>
      <c r="AB35" s="678">
        <f t="shared" si="11"/>
        <v>82336</v>
      </c>
    </row>
    <row r="36" spans="1:28" s="1" customFormat="1" ht="18.75" customHeight="1" hidden="1" thickBot="1">
      <c r="A36" s="736" t="s">
        <v>36</v>
      </c>
      <c r="B36" s="737"/>
      <c r="C36" s="653"/>
      <c r="D36" s="692">
        <v>0</v>
      </c>
      <c r="E36" s="654"/>
      <c r="F36" s="597">
        <f t="shared" si="10"/>
        <v>0</v>
      </c>
      <c r="G36" s="594">
        <v>0</v>
      </c>
      <c r="H36" s="594">
        <v>0</v>
      </c>
      <c r="I36" s="709"/>
      <c r="J36" s="655"/>
      <c r="K36" s="656"/>
      <c r="L36" s="657"/>
      <c r="M36" s="655"/>
      <c r="N36" s="656"/>
      <c r="O36" s="657"/>
      <c r="P36" s="655"/>
      <c r="Q36" s="656"/>
      <c r="R36" s="658"/>
      <c r="S36" s="655">
        <f t="shared" si="2"/>
        <v>0</v>
      </c>
      <c r="T36" s="656">
        <f t="shared" si="3"/>
        <v>0</v>
      </c>
      <c r="U36" s="657">
        <f t="shared" si="4"/>
        <v>0</v>
      </c>
      <c r="V36" s="659"/>
      <c r="W36" s="621">
        <f t="shared" si="5"/>
        <v>0</v>
      </c>
      <c r="X36" s="622">
        <f t="shared" si="6"/>
        <v>0</v>
      </c>
      <c r="Y36" s="631">
        <f t="shared" si="7"/>
        <v>0</v>
      </c>
      <c r="Z36" s="666"/>
      <c r="AA36" s="311">
        <f>F36-X36</f>
        <v>0</v>
      </c>
      <c r="AB36" s="678">
        <f t="shared" si="11"/>
        <v>0</v>
      </c>
    </row>
    <row r="37" spans="1:28" s="1" customFormat="1" ht="23.25" customHeight="1" thickBot="1">
      <c r="A37" s="714" t="s">
        <v>37</v>
      </c>
      <c r="B37" s="738"/>
      <c r="C37" s="608"/>
      <c r="D37" s="687">
        <v>400</v>
      </c>
      <c r="E37" s="591">
        <v>-110</v>
      </c>
      <c r="F37" s="570">
        <f t="shared" si="10"/>
        <v>1000</v>
      </c>
      <c r="G37" s="570">
        <v>1000</v>
      </c>
      <c r="H37" s="570">
        <v>0</v>
      </c>
      <c r="I37" s="710">
        <v>0</v>
      </c>
      <c r="J37" s="619">
        <v>180</v>
      </c>
      <c r="K37" s="615"/>
      <c r="L37" s="603">
        <v>570</v>
      </c>
      <c r="M37" s="619"/>
      <c r="N37" s="615"/>
      <c r="O37" s="603">
        <v>420</v>
      </c>
      <c r="P37" s="619"/>
      <c r="Q37" s="615"/>
      <c r="R37" s="630"/>
      <c r="S37" s="619">
        <f t="shared" si="2"/>
        <v>180</v>
      </c>
      <c r="T37" s="615">
        <f t="shared" si="3"/>
        <v>0</v>
      </c>
      <c r="U37" s="603">
        <f t="shared" si="4"/>
        <v>990</v>
      </c>
      <c r="V37" s="650"/>
      <c r="W37" s="619">
        <f t="shared" si="5"/>
        <v>180</v>
      </c>
      <c r="X37" s="615">
        <f t="shared" si="6"/>
        <v>0</v>
      </c>
      <c r="Y37" s="630">
        <f t="shared" si="7"/>
        <v>990</v>
      </c>
      <c r="Z37" s="667"/>
      <c r="AA37" s="330"/>
      <c r="AB37" s="680">
        <f t="shared" si="11"/>
        <v>820</v>
      </c>
    </row>
    <row r="38" spans="1:28" s="1" customFormat="1" ht="29.25" customHeight="1" thickBot="1">
      <c r="A38" s="732" t="s">
        <v>121</v>
      </c>
      <c r="B38" s="733"/>
      <c r="C38" s="557">
        <v>2745268.12</v>
      </c>
      <c r="D38" s="693"/>
      <c r="E38" s="557"/>
      <c r="F38" s="577">
        <f aca="true" t="shared" si="25" ref="F38:L38">F7+F10+F13+F17+F21+F28+F32+F33+F34+F35+F36+F37</f>
        <v>12926064</v>
      </c>
      <c r="G38" s="577">
        <f t="shared" si="25"/>
        <v>4288688</v>
      </c>
      <c r="H38" s="577">
        <f t="shared" si="25"/>
        <v>4283688</v>
      </c>
      <c r="I38" s="577">
        <f t="shared" si="25"/>
        <v>3959688</v>
      </c>
      <c r="J38" s="367">
        <f t="shared" si="25"/>
        <v>4256609.01</v>
      </c>
      <c r="K38" s="367">
        <f t="shared" si="25"/>
        <v>316089.05</v>
      </c>
      <c r="L38" s="367">
        <f t="shared" si="25"/>
        <v>1394770.81</v>
      </c>
      <c r="M38" s="367">
        <f aca="true" t="shared" si="26" ref="M38:U38">M7+M10+M13+M17+M21+M28+M32+M33+M34+M35+M36+M37</f>
        <v>0</v>
      </c>
      <c r="N38" s="367">
        <f t="shared" si="26"/>
        <v>0</v>
      </c>
      <c r="O38" s="367">
        <f t="shared" si="26"/>
        <v>777974.64</v>
      </c>
      <c r="P38" s="367">
        <f t="shared" si="26"/>
        <v>0</v>
      </c>
      <c r="Q38" s="367">
        <f t="shared" si="26"/>
        <v>0</v>
      </c>
      <c r="R38" s="367">
        <f t="shared" si="26"/>
        <v>0</v>
      </c>
      <c r="S38" s="367">
        <f t="shared" si="26"/>
        <v>4256609.01</v>
      </c>
      <c r="T38" s="367">
        <f t="shared" si="26"/>
        <v>316089.05</v>
      </c>
      <c r="U38" s="367">
        <f t="shared" si="26"/>
        <v>2172745.45</v>
      </c>
      <c r="V38" s="425"/>
      <c r="W38" s="632">
        <f aca="true" t="shared" si="27" ref="W38:AB38">W7+W10+W13+W17+W21+W28+W32+W33+W34+W35+W36+W37</f>
        <v>4650609.01</v>
      </c>
      <c r="X38" s="632">
        <f t="shared" si="27"/>
        <v>316089.05</v>
      </c>
      <c r="Y38" s="632">
        <f t="shared" si="27"/>
        <v>2172745.45</v>
      </c>
      <c r="Z38" s="669">
        <f t="shared" si="27"/>
        <v>101450.99999999993</v>
      </c>
      <c r="AA38" s="632">
        <f t="shared" si="27"/>
        <v>112161.3</v>
      </c>
      <c r="AB38" s="557">
        <f t="shared" si="27"/>
        <v>458956.95</v>
      </c>
    </row>
    <row r="39" spans="1:28" s="11" customFormat="1" ht="16.5" customHeight="1">
      <c r="A39" s="2" t="s">
        <v>19</v>
      </c>
      <c r="B39" s="523" t="s">
        <v>47</v>
      </c>
      <c r="C39" s="500">
        <v>1918189.51</v>
      </c>
      <c r="D39" s="694"/>
      <c r="E39" s="500"/>
      <c r="F39" s="578">
        <f>F7+F13+F21+F28+F32+F33</f>
        <v>11356000</v>
      </c>
      <c r="G39" s="578">
        <f aca="true" t="shared" si="28" ref="G39:Y39">G7+G13+G21+G28+G32+G33</f>
        <v>3769000</v>
      </c>
      <c r="H39" s="578">
        <f t="shared" si="28"/>
        <v>3766000</v>
      </c>
      <c r="I39" s="578">
        <f>I7+I13+I21+I28+I32+I33</f>
        <v>3442000</v>
      </c>
      <c r="J39" s="578">
        <f t="shared" si="28"/>
        <v>3860038.8299999996</v>
      </c>
      <c r="K39" s="578">
        <f t="shared" si="28"/>
        <v>283681.17</v>
      </c>
      <c r="L39" s="578">
        <f t="shared" si="28"/>
        <v>1135749.7</v>
      </c>
      <c r="M39" s="578">
        <f t="shared" si="28"/>
        <v>0</v>
      </c>
      <c r="N39" s="578">
        <f t="shared" si="28"/>
        <v>0</v>
      </c>
      <c r="O39" s="578">
        <f t="shared" si="28"/>
        <v>374445.1</v>
      </c>
      <c r="P39" s="578">
        <f t="shared" si="28"/>
        <v>0</v>
      </c>
      <c r="Q39" s="578">
        <f t="shared" si="28"/>
        <v>0</v>
      </c>
      <c r="R39" s="578">
        <f t="shared" si="28"/>
        <v>0</v>
      </c>
      <c r="S39" s="578">
        <f t="shared" si="28"/>
        <v>3860038.8299999996</v>
      </c>
      <c r="T39" s="578">
        <f t="shared" si="28"/>
        <v>283681.17</v>
      </c>
      <c r="U39" s="578">
        <f t="shared" si="28"/>
        <v>1510194.8</v>
      </c>
      <c r="V39" s="634"/>
      <c r="W39" s="578">
        <f t="shared" si="28"/>
        <v>4239038.83</v>
      </c>
      <c r="X39" s="578">
        <f t="shared" si="28"/>
        <v>283681.17</v>
      </c>
      <c r="Y39" s="578">
        <f t="shared" si="28"/>
        <v>1510194.8</v>
      </c>
      <c r="Z39" s="670">
        <f>Z7+Z13+Z21+Z28+Z32+Z33</f>
        <v>37391.7</v>
      </c>
      <c r="AA39" s="578">
        <f>AA7+AA13+AA21+AA28+AA32+AA33</f>
        <v>55161.3</v>
      </c>
      <c r="AB39" s="681">
        <f>AB7+AB13+AB21+AB28+AB32+AB33</f>
        <v>153392.95</v>
      </c>
    </row>
    <row r="40" spans="1:28" s="11" customFormat="1" ht="17.25" customHeight="1" thickBot="1">
      <c r="A40" s="14"/>
      <c r="B40" s="477" t="s">
        <v>20</v>
      </c>
      <c r="C40" s="370">
        <v>96623.04999999993</v>
      </c>
      <c r="D40" s="695"/>
      <c r="E40" s="370"/>
      <c r="F40" s="579">
        <f>F17+F34</f>
        <v>418000</v>
      </c>
      <c r="G40" s="579">
        <f aca="true" t="shared" si="29" ref="G40:Y40">G17+G34</f>
        <v>135000</v>
      </c>
      <c r="H40" s="579">
        <f t="shared" si="29"/>
        <v>134000</v>
      </c>
      <c r="I40" s="579">
        <f>I17+I34</f>
        <v>134000</v>
      </c>
      <c r="J40" s="579">
        <f t="shared" si="29"/>
        <v>156155.75</v>
      </c>
      <c r="K40" s="579">
        <f t="shared" si="29"/>
        <v>0</v>
      </c>
      <c r="L40" s="579">
        <f t="shared" si="29"/>
        <v>8796.56</v>
      </c>
      <c r="M40" s="579">
        <f t="shared" si="29"/>
        <v>0</v>
      </c>
      <c r="N40" s="579">
        <f t="shared" si="29"/>
        <v>0</v>
      </c>
      <c r="O40" s="579">
        <f t="shared" si="29"/>
        <v>34592.24</v>
      </c>
      <c r="P40" s="579">
        <f t="shared" si="29"/>
        <v>0</v>
      </c>
      <c r="Q40" s="579">
        <f t="shared" si="29"/>
        <v>0</v>
      </c>
      <c r="R40" s="579">
        <f t="shared" si="29"/>
        <v>0</v>
      </c>
      <c r="S40" s="579">
        <f t="shared" si="29"/>
        <v>156155.75</v>
      </c>
      <c r="T40" s="579">
        <f t="shared" si="29"/>
        <v>0</v>
      </c>
      <c r="U40" s="579">
        <f t="shared" si="29"/>
        <v>43388.799999999996</v>
      </c>
      <c r="V40" s="635"/>
      <c r="W40" s="579">
        <f t="shared" si="29"/>
        <v>171155.75</v>
      </c>
      <c r="X40" s="579">
        <f t="shared" si="29"/>
        <v>0</v>
      </c>
      <c r="Y40" s="579">
        <f t="shared" si="29"/>
        <v>43388.799999999996</v>
      </c>
      <c r="Z40" s="671">
        <f>Z17+Z34</f>
        <v>64059.29999999993</v>
      </c>
      <c r="AA40" s="579">
        <f>AA17+AA34</f>
        <v>57000</v>
      </c>
      <c r="AB40" s="682">
        <f>AB17+AB34</f>
        <v>222408</v>
      </c>
    </row>
    <row r="41" spans="1:28" s="11" customFormat="1" ht="14.25" customHeight="1" thickBot="1">
      <c r="A41" s="87" t="s">
        <v>19</v>
      </c>
      <c r="B41" s="88"/>
      <c r="C41" s="94"/>
      <c r="D41" s="696"/>
      <c r="F41" s="9"/>
      <c r="G41" s="555"/>
      <c r="H41" s="555"/>
      <c r="I41" s="555"/>
      <c r="J41" s="315"/>
      <c r="K41" s="316"/>
      <c r="L41" s="522"/>
      <c r="M41" s="315"/>
      <c r="N41" s="316"/>
      <c r="O41" s="522"/>
      <c r="P41" s="315"/>
      <c r="Q41" s="316"/>
      <c r="R41" s="522"/>
      <c r="S41" s="315"/>
      <c r="T41" s="316"/>
      <c r="U41" s="522"/>
      <c r="Z41" s="662"/>
      <c r="AB41" s="427"/>
    </row>
    <row r="42" spans="1:25" ht="18.75" customHeight="1" thickBot="1">
      <c r="A42" s="734" t="s">
        <v>89</v>
      </c>
      <c r="B42" s="735"/>
      <c r="C42" s="157">
        <v>2745268.12</v>
      </c>
      <c r="D42" s="697"/>
      <c r="E42" s="157"/>
      <c r="F42" s="599">
        <f aca="true" t="shared" si="30" ref="F42:O42">F45+F36</f>
        <v>2600000</v>
      </c>
      <c r="G42" s="580">
        <f t="shared" si="30"/>
        <v>976000</v>
      </c>
      <c r="H42" s="580">
        <f t="shared" si="30"/>
        <v>974000</v>
      </c>
      <c r="I42" s="580">
        <f>I45+I36</f>
        <v>650000</v>
      </c>
      <c r="J42" s="580">
        <f t="shared" si="30"/>
        <v>1075463.47</v>
      </c>
      <c r="K42" s="580">
        <f t="shared" si="30"/>
        <v>316089.05</v>
      </c>
      <c r="L42" s="580">
        <f t="shared" si="30"/>
        <v>1362952.81</v>
      </c>
      <c r="M42" s="580">
        <f t="shared" si="30"/>
        <v>0</v>
      </c>
      <c r="N42" s="580">
        <f t="shared" si="30"/>
        <v>0</v>
      </c>
      <c r="O42" s="580">
        <f t="shared" si="30"/>
        <v>633714.64</v>
      </c>
      <c r="P42" s="580">
        <f aca="true" t="shared" si="31" ref="P42:U42">P45+P36</f>
        <v>0</v>
      </c>
      <c r="Q42" s="580">
        <f t="shared" si="31"/>
        <v>0</v>
      </c>
      <c r="R42" s="580">
        <f t="shared" si="31"/>
        <v>0</v>
      </c>
      <c r="S42" s="580">
        <f t="shared" si="31"/>
        <v>1075463.47</v>
      </c>
      <c r="T42" s="580">
        <f t="shared" si="31"/>
        <v>316089.05</v>
      </c>
      <c r="U42" s="580">
        <f t="shared" si="31"/>
        <v>1996667.45</v>
      </c>
      <c r="V42" s="580"/>
      <c r="W42" s="580">
        <f>W45+W36</f>
        <v>1075463.47</v>
      </c>
      <c r="X42" s="580">
        <f>X45+X36</f>
        <v>316089.05</v>
      </c>
      <c r="Y42" s="580">
        <f>Y45+Y36</f>
        <v>1996667.45</v>
      </c>
    </row>
    <row r="43" spans="1:25" ht="18" customHeight="1" thickBot="1">
      <c r="A43" s="400" t="s">
        <v>53</v>
      </c>
      <c r="B43" s="401" t="s">
        <v>91</v>
      </c>
      <c r="C43" s="158">
        <v>0</v>
      </c>
      <c r="D43" s="698"/>
      <c r="E43" s="158"/>
      <c r="F43" s="600">
        <f aca="true" t="shared" si="32" ref="F43:O43">F6+F8+F12+F17+F22+F24+F25+F26+F27+F33</f>
        <v>10025000</v>
      </c>
      <c r="G43" s="581">
        <f t="shared" si="32"/>
        <v>3273000</v>
      </c>
      <c r="H43" s="581">
        <f t="shared" si="32"/>
        <v>3271000</v>
      </c>
      <c r="I43" s="581">
        <f>I6+I8+I12+I17+I22+I24+I25+I26+I27+I33</f>
        <v>3271000</v>
      </c>
      <c r="J43" s="581">
        <f t="shared" si="32"/>
        <v>3147237.5399999996</v>
      </c>
      <c r="K43" s="581">
        <f t="shared" si="32"/>
        <v>0</v>
      </c>
      <c r="L43" s="581">
        <f t="shared" si="32"/>
        <v>0</v>
      </c>
      <c r="M43" s="581">
        <f t="shared" si="32"/>
        <v>0</v>
      </c>
      <c r="N43" s="581">
        <f t="shared" si="32"/>
        <v>0</v>
      </c>
      <c r="O43" s="581">
        <f t="shared" si="32"/>
        <v>0</v>
      </c>
      <c r="P43" s="581">
        <f aca="true" t="shared" si="33" ref="P43:U43">P6+P8+P12+P17+P22+P24+P25+P26+P27+P33</f>
        <v>0</v>
      </c>
      <c r="Q43" s="581">
        <f t="shared" si="33"/>
        <v>0</v>
      </c>
      <c r="R43" s="581">
        <f t="shared" si="33"/>
        <v>0</v>
      </c>
      <c r="S43" s="581">
        <f t="shared" si="33"/>
        <v>3147237.5399999996</v>
      </c>
      <c r="T43" s="581">
        <f t="shared" si="33"/>
        <v>0</v>
      </c>
      <c r="U43" s="581">
        <f t="shared" si="33"/>
        <v>0</v>
      </c>
      <c r="V43" s="581"/>
      <c r="W43" s="581">
        <f>W6+W8+W12+W17+W22+W24+W25+W26+W27+W33</f>
        <v>3357237.5399999996</v>
      </c>
      <c r="X43" s="581">
        <f>X6+X8+X12+X17+X22+X24+X25+X26+X27+X33</f>
        <v>0</v>
      </c>
      <c r="Y43" s="581">
        <f>Y6+Y8+Y12+Y17+Y22+Y24+Y25+Y26+Y27+Y33</f>
        <v>0</v>
      </c>
    </row>
    <row r="44" spans="1:28" s="41" customFormat="1" ht="13.5" customHeight="1" thickBot="1">
      <c r="A44" s="40"/>
      <c r="B44" s="23"/>
      <c r="C44" s="159"/>
      <c r="D44" s="699"/>
      <c r="E44" s="159"/>
      <c r="F44" s="582"/>
      <c r="G44" s="582"/>
      <c r="H44" s="582"/>
      <c r="I44" s="582"/>
      <c r="J44" s="582"/>
      <c r="K44" s="582"/>
      <c r="L44" s="582"/>
      <c r="M44" s="582"/>
      <c r="N44" s="582"/>
      <c r="O44" s="582"/>
      <c r="P44" s="582"/>
      <c r="Q44" s="582"/>
      <c r="R44" s="582"/>
      <c r="S44" s="582"/>
      <c r="T44" s="582"/>
      <c r="U44" s="582"/>
      <c r="V44" s="582"/>
      <c r="W44" s="582"/>
      <c r="X44" s="582"/>
      <c r="Y44" s="582"/>
      <c r="Z44" s="672"/>
      <c r="AB44" s="465"/>
    </row>
    <row r="45" spans="1:28" s="13" customFormat="1" ht="18" customHeight="1" thickBot="1">
      <c r="A45" s="727" t="s">
        <v>90</v>
      </c>
      <c r="B45" s="728"/>
      <c r="C45" s="150">
        <v>2745268.12</v>
      </c>
      <c r="D45" s="700"/>
      <c r="E45" s="150"/>
      <c r="F45" s="583">
        <f aca="true" t="shared" si="34" ref="F45:O45">F5+F9+F11+F21+F23+F32+F34</f>
        <v>2600000</v>
      </c>
      <c r="G45" s="583">
        <f t="shared" si="34"/>
        <v>976000</v>
      </c>
      <c r="H45" s="583">
        <f t="shared" si="34"/>
        <v>974000</v>
      </c>
      <c r="I45" s="583">
        <f>I5+I9+I11+I21+I23+I32+I34</f>
        <v>650000</v>
      </c>
      <c r="J45" s="583">
        <f t="shared" si="34"/>
        <v>1075463.47</v>
      </c>
      <c r="K45" s="583">
        <f t="shared" si="34"/>
        <v>316089.05</v>
      </c>
      <c r="L45" s="583">
        <f t="shared" si="34"/>
        <v>1362952.81</v>
      </c>
      <c r="M45" s="583">
        <f t="shared" si="34"/>
        <v>0</v>
      </c>
      <c r="N45" s="583">
        <f t="shared" si="34"/>
        <v>0</v>
      </c>
      <c r="O45" s="583">
        <f t="shared" si="34"/>
        <v>633714.64</v>
      </c>
      <c r="P45" s="583">
        <f aca="true" t="shared" si="35" ref="P45:U45">P5+P9+P11+P21+P23+P32+P34</f>
        <v>0</v>
      </c>
      <c r="Q45" s="583">
        <f t="shared" si="35"/>
        <v>0</v>
      </c>
      <c r="R45" s="583">
        <f t="shared" si="35"/>
        <v>0</v>
      </c>
      <c r="S45" s="583">
        <f t="shared" si="35"/>
        <v>1075463.47</v>
      </c>
      <c r="T45" s="583">
        <f t="shared" si="35"/>
        <v>316089.05</v>
      </c>
      <c r="U45" s="583">
        <f t="shared" si="35"/>
        <v>1996667.45</v>
      </c>
      <c r="V45" s="583"/>
      <c r="W45" s="583">
        <f>W5+W9+W11+W21+W23+W32+W34</f>
        <v>1075463.47</v>
      </c>
      <c r="X45" s="583">
        <f>X5+X9+X11+X21+X23+X32+X34</f>
        <v>316089.05</v>
      </c>
      <c r="Y45" s="583">
        <f>Y5+Y9+Y11+Y21+Y23+Y32+Y34</f>
        <v>1996667.45</v>
      </c>
      <c r="Z45" s="673"/>
      <c r="AB45" s="466"/>
    </row>
    <row r="46" spans="1:28" s="26" customFormat="1" ht="42" customHeight="1">
      <c r="A46" s="729" t="s">
        <v>38</v>
      </c>
      <c r="B46" s="729"/>
      <c r="C46" s="614"/>
      <c r="D46" s="701"/>
      <c r="E46" s="521"/>
      <c r="F46" s="584"/>
      <c r="G46" s="584"/>
      <c r="H46" s="584"/>
      <c r="I46" s="584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Z46" s="674"/>
      <c r="AB46" s="467"/>
    </row>
  </sheetData>
  <sheetProtection/>
  <mergeCells count="23">
    <mergeCell ref="A45:B45"/>
    <mergeCell ref="A46:B46"/>
    <mergeCell ref="A34:B34"/>
    <mergeCell ref="A35:B35"/>
    <mergeCell ref="A38:B38"/>
    <mergeCell ref="A42:B42"/>
    <mergeCell ref="A36:B36"/>
    <mergeCell ref="A37:B37"/>
    <mergeCell ref="A18:B18"/>
    <mergeCell ref="A19:A20"/>
    <mergeCell ref="A21:B21"/>
    <mergeCell ref="A22:A27"/>
    <mergeCell ref="A28:B28"/>
    <mergeCell ref="A29:A31"/>
    <mergeCell ref="A32:B32"/>
    <mergeCell ref="A33:B33"/>
    <mergeCell ref="A1:E1"/>
    <mergeCell ref="A11:A12"/>
    <mergeCell ref="A14:A16"/>
    <mergeCell ref="A5:A6"/>
    <mergeCell ref="A7:B7"/>
    <mergeCell ref="A10:B10"/>
    <mergeCell ref="A3:L3"/>
  </mergeCells>
  <printOptions/>
  <pageMargins left="0.22" right="0.2" top="0.24" bottom="0.23" header="0.2" footer="0.21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C36" sqref="C36"/>
    </sheetView>
  </sheetViews>
  <sheetFormatPr defaultColWidth="9.140625" defaultRowHeight="12.75"/>
  <cols>
    <col min="1" max="1" width="14.140625" style="18" customWidth="1"/>
    <col min="2" max="2" width="23.7109375" style="19" bestFit="1" customWidth="1"/>
    <col min="3" max="3" width="11.28125" style="604" bestFit="1" customWidth="1"/>
    <col min="4" max="4" width="10.28125" style="517" customWidth="1"/>
    <col min="5" max="5" width="9.8515625" style="517" customWidth="1"/>
    <col min="6" max="6" width="13.57421875" style="568" customWidth="1"/>
    <col min="7" max="7" width="14.28125" style="568" customWidth="1"/>
    <col min="8" max="8" width="15.140625" style="568" customWidth="1"/>
    <col min="9" max="9" width="14.421875" style="10" customWidth="1"/>
    <col min="10" max="16384" width="9.140625" style="10" customWidth="1"/>
  </cols>
  <sheetData>
    <row r="1" spans="1:2" ht="13.5" customHeight="1">
      <c r="A1" s="43" t="s">
        <v>1</v>
      </c>
      <c r="B1" s="43"/>
    </row>
    <row r="2" ht="15.75" customHeight="1"/>
    <row r="3" spans="1:3" ht="15.75" customHeight="1" thickBot="1">
      <c r="A3" s="722" t="s">
        <v>66</v>
      </c>
      <c r="B3" s="722"/>
      <c r="C3" s="604">
        <f>C5+C9</f>
        <v>2463905.44</v>
      </c>
    </row>
    <row r="4" spans="1:8" s="18" customFormat="1" ht="56.25" customHeight="1" thickBot="1">
      <c r="A4" s="20" t="s">
        <v>2</v>
      </c>
      <c r="B4" s="21" t="s">
        <v>3</v>
      </c>
      <c r="C4" s="605" t="s">
        <v>152</v>
      </c>
      <c r="D4" s="585" t="s">
        <v>150</v>
      </c>
      <c r="E4" s="587" t="s">
        <v>151</v>
      </c>
      <c r="F4" s="595" t="s">
        <v>153</v>
      </c>
      <c r="G4" s="586" t="s">
        <v>146</v>
      </c>
      <c r="H4" s="586" t="s">
        <v>149</v>
      </c>
    </row>
    <row r="5" spans="1:8" s="1" customFormat="1" ht="18.75" customHeight="1">
      <c r="A5" s="716" t="s">
        <v>7</v>
      </c>
      <c r="B5" s="7" t="s">
        <v>4</v>
      </c>
      <c r="C5" s="606">
        <f>1967639.11+12734.69</f>
        <v>1980373.8</v>
      </c>
      <c r="D5" s="562">
        <v>706050.8708333332</v>
      </c>
      <c r="E5" s="562">
        <v>-246022.46</v>
      </c>
      <c r="F5" s="529">
        <f>G5+H5</f>
        <v>1364000</v>
      </c>
      <c r="G5" s="571">
        <v>682000</v>
      </c>
      <c r="H5" s="571">
        <v>682000</v>
      </c>
    </row>
    <row r="6" spans="1:8" s="1" customFormat="1" ht="18.75" customHeight="1" thickBot="1">
      <c r="A6" s="717"/>
      <c r="B6" s="22" t="s">
        <v>5</v>
      </c>
      <c r="C6" s="607"/>
      <c r="D6" s="563">
        <v>803207.1358333332</v>
      </c>
      <c r="E6" s="563">
        <v>79475.62999999896</v>
      </c>
      <c r="F6" s="596">
        <f>G6+H6</f>
        <v>1600000</v>
      </c>
      <c r="G6" s="569">
        <v>800000</v>
      </c>
      <c r="H6" s="569">
        <v>800000</v>
      </c>
    </row>
    <row r="7" spans="1:8" s="1" customFormat="1" ht="24" customHeight="1" thickBot="1">
      <c r="A7" s="719" t="s">
        <v>45</v>
      </c>
      <c r="B7" s="720"/>
      <c r="C7" s="588">
        <v>1733449.83</v>
      </c>
      <c r="D7" s="588">
        <v>1509258.0066666666</v>
      </c>
      <c r="E7" s="588">
        <v>-137583.630000001</v>
      </c>
      <c r="F7" s="570">
        <f>F5+F6</f>
        <v>2964000</v>
      </c>
      <c r="G7" s="570">
        <f>G5+G6</f>
        <v>1482000</v>
      </c>
      <c r="H7" s="570">
        <f>H5+H6</f>
        <v>1482000</v>
      </c>
    </row>
    <row r="8" spans="1:8" s="1" customFormat="1" ht="18.75" customHeight="1">
      <c r="A8" s="115"/>
      <c r="B8" s="116" t="s">
        <v>33</v>
      </c>
      <c r="C8" s="606"/>
      <c r="D8" s="562">
        <v>202396.13</v>
      </c>
      <c r="E8" s="562">
        <v>-1246.4399999999441</v>
      </c>
      <c r="F8" s="596">
        <f aca="true" t="shared" si="0" ref="F8:F36">G8+H8</f>
        <v>400000</v>
      </c>
      <c r="G8" s="571">
        <v>200000</v>
      </c>
      <c r="H8" s="571">
        <v>200000</v>
      </c>
    </row>
    <row r="9" spans="1:8" s="1" customFormat="1" ht="18.75" customHeight="1" thickBot="1">
      <c r="A9" s="259"/>
      <c r="B9" s="273" t="s">
        <v>67</v>
      </c>
      <c r="C9" s="607">
        <f>496266.33-12734.69</f>
        <v>483531.64</v>
      </c>
      <c r="D9" s="563">
        <v>73851.60083333333</v>
      </c>
      <c r="E9" s="563">
        <v>-97325.23</v>
      </c>
      <c r="F9" s="596">
        <f t="shared" si="0"/>
        <v>290000</v>
      </c>
      <c r="G9" s="569">
        <v>145000</v>
      </c>
      <c r="H9" s="569">
        <v>145000</v>
      </c>
    </row>
    <row r="10" spans="1:8" s="1" customFormat="1" ht="23.25" customHeight="1" thickBot="1">
      <c r="A10" s="719" t="s">
        <v>68</v>
      </c>
      <c r="B10" s="720"/>
      <c r="C10" s="608">
        <f>C9</f>
        <v>483531.64</v>
      </c>
      <c r="D10" s="591">
        <v>276247.73083333333</v>
      </c>
      <c r="E10" s="591">
        <v>-98571.66999999993</v>
      </c>
      <c r="F10" s="572">
        <f>F8+F9</f>
        <v>690000</v>
      </c>
      <c r="G10" s="572">
        <f>G8+G9</f>
        <v>345000</v>
      </c>
      <c r="H10" s="572">
        <f>H8+H9</f>
        <v>345000</v>
      </c>
    </row>
    <row r="11" spans="1:8" s="1" customFormat="1" ht="18" customHeight="1">
      <c r="A11" s="716" t="s">
        <v>6</v>
      </c>
      <c r="B11" s="7" t="s">
        <v>4</v>
      </c>
      <c r="C11" s="606">
        <v>5049.46</v>
      </c>
      <c r="D11" s="562">
        <v>2251.7566666666667</v>
      </c>
      <c r="E11" s="562">
        <v>-117.44000000000233</v>
      </c>
      <c r="F11" s="597">
        <f t="shared" si="0"/>
        <v>4000</v>
      </c>
      <c r="G11" s="571">
        <v>2000</v>
      </c>
      <c r="H11" s="571">
        <v>2000</v>
      </c>
    </row>
    <row r="12" spans="1:8" s="1" customFormat="1" ht="18" customHeight="1" thickBot="1">
      <c r="A12" s="717"/>
      <c r="B12" s="22" t="s">
        <v>5</v>
      </c>
      <c r="C12" s="607"/>
      <c r="D12" s="563">
        <v>1859782.4750000003</v>
      </c>
      <c r="E12" s="563">
        <v>29789.70000000298</v>
      </c>
      <c r="F12" s="596">
        <f t="shared" si="0"/>
        <v>3715000</v>
      </c>
      <c r="G12" s="569">
        <v>1858000</v>
      </c>
      <c r="H12" s="569">
        <v>1857000</v>
      </c>
    </row>
    <row r="13" spans="1:8" s="1" customFormat="1" ht="22.5" customHeight="1" thickBot="1">
      <c r="A13" s="3" t="s">
        <v>8</v>
      </c>
      <c r="B13" s="5" t="s">
        <v>9</v>
      </c>
      <c r="C13" s="609">
        <v>5049.62</v>
      </c>
      <c r="D13" s="589">
        <v>1862034.2316666667</v>
      </c>
      <c r="E13" s="590">
        <v>183085.81000000297</v>
      </c>
      <c r="F13" s="570">
        <f>F11+F12</f>
        <v>3719000</v>
      </c>
      <c r="G13" s="570">
        <f>G11+G12</f>
        <v>1860000</v>
      </c>
      <c r="H13" s="570">
        <f>H11+H12</f>
        <v>1859000</v>
      </c>
    </row>
    <row r="14" spans="1:8" s="1" customFormat="1" ht="16.5" customHeight="1">
      <c r="A14" s="718" t="s">
        <v>6</v>
      </c>
      <c r="B14" s="7" t="s">
        <v>22</v>
      </c>
      <c r="C14" s="606">
        <v>0</v>
      </c>
      <c r="D14" s="562">
        <v>0</v>
      </c>
      <c r="E14" s="562"/>
      <c r="F14" s="596">
        <f t="shared" si="0"/>
        <v>0</v>
      </c>
      <c r="G14" s="571"/>
      <c r="H14" s="571"/>
    </row>
    <row r="15" spans="1:8" s="1" customFormat="1" ht="19.5" customHeight="1">
      <c r="A15" s="718"/>
      <c r="B15" s="7" t="s">
        <v>28</v>
      </c>
      <c r="C15" s="610"/>
      <c r="D15" s="476">
        <v>6070</v>
      </c>
      <c r="E15" s="476">
        <v>600</v>
      </c>
      <c r="F15" s="596">
        <f t="shared" si="0"/>
        <v>13000</v>
      </c>
      <c r="G15" s="573">
        <v>7000</v>
      </c>
      <c r="H15" s="573">
        <v>6000</v>
      </c>
    </row>
    <row r="16" spans="1:8" s="1" customFormat="1" ht="20.25" customHeight="1" thickBot="1">
      <c r="A16" s="718"/>
      <c r="B16" s="22" t="s">
        <v>29</v>
      </c>
      <c r="C16" s="607"/>
      <c r="D16" s="563">
        <v>110143.67333333334</v>
      </c>
      <c r="E16" s="563">
        <v>13914.080000000075</v>
      </c>
      <c r="F16" s="596">
        <f t="shared" si="0"/>
        <v>218000</v>
      </c>
      <c r="G16" s="569">
        <v>109000</v>
      </c>
      <c r="H16" s="569">
        <v>109000</v>
      </c>
    </row>
    <row r="17" spans="1:8" s="1" customFormat="1" ht="20.25" customHeight="1" thickBot="1">
      <c r="A17" s="3" t="s">
        <v>8</v>
      </c>
      <c r="B17" s="5" t="s">
        <v>11</v>
      </c>
      <c r="C17" s="423">
        <v>0</v>
      </c>
      <c r="D17" s="423">
        <v>116213.67333333334</v>
      </c>
      <c r="E17" s="565">
        <v>14514.080000000075</v>
      </c>
      <c r="F17" s="570">
        <f>F15+F16</f>
        <v>231000</v>
      </c>
      <c r="G17" s="570">
        <f>G15+G16</f>
        <v>116000</v>
      </c>
      <c r="H17" s="570">
        <f>H15+H16</f>
        <v>115000</v>
      </c>
    </row>
    <row r="18" spans="1:8" s="1" customFormat="1" ht="21" customHeight="1" thickBot="1">
      <c r="A18" s="723" t="s">
        <v>10</v>
      </c>
      <c r="B18" s="724"/>
      <c r="C18" s="606"/>
      <c r="D18" s="562">
        <v>0</v>
      </c>
      <c r="E18" s="562"/>
      <c r="F18" s="596">
        <f t="shared" si="0"/>
        <v>0</v>
      </c>
      <c r="G18" s="571"/>
      <c r="H18" s="571"/>
    </row>
    <row r="19" spans="1:8" s="1" customFormat="1" ht="18" customHeight="1">
      <c r="A19" s="716" t="s">
        <v>35</v>
      </c>
      <c r="B19" s="7" t="s">
        <v>12</v>
      </c>
      <c r="C19" s="610">
        <v>25675.69</v>
      </c>
      <c r="D19" s="476">
        <v>5790.2425</v>
      </c>
      <c r="E19" s="476">
        <v>-13179.77</v>
      </c>
      <c r="F19" s="596">
        <f t="shared" si="0"/>
        <v>6000</v>
      </c>
      <c r="G19" s="573">
        <v>3000</v>
      </c>
      <c r="H19" s="573">
        <v>3000</v>
      </c>
    </row>
    <row r="20" spans="1:8" s="1" customFormat="1" ht="18" customHeight="1" thickBot="1">
      <c r="A20" s="717"/>
      <c r="B20" s="22" t="s">
        <v>13</v>
      </c>
      <c r="C20" s="607">
        <v>17566.22</v>
      </c>
      <c r="D20" s="563">
        <v>8237.859166666667</v>
      </c>
      <c r="E20" s="563">
        <v>-3451.75</v>
      </c>
      <c r="F20" s="596">
        <f t="shared" si="0"/>
        <v>18000</v>
      </c>
      <c r="G20" s="569">
        <v>9000</v>
      </c>
      <c r="H20" s="569">
        <v>9000</v>
      </c>
    </row>
    <row r="21" spans="1:8" s="1" customFormat="1" ht="19.5" customHeight="1" thickBot="1">
      <c r="A21" s="723" t="s">
        <v>14</v>
      </c>
      <c r="B21" s="724"/>
      <c r="C21" s="423">
        <v>43241.92</v>
      </c>
      <c r="D21" s="423">
        <v>14028.10166666667</v>
      </c>
      <c r="E21" s="423">
        <v>-16631.52</v>
      </c>
      <c r="F21" s="570">
        <f>F19+F20</f>
        <v>24000</v>
      </c>
      <c r="G21" s="570">
        <f>G19+G20</f>
        <v>12000</v>
      </c>
      <c r="H21" s="570">
        <f>H19+H20</f>
        <v>12000</v>
      </c>
    </row>
    <row r="22" spans="1:8" s="1" customFormat="1" ht="18" customHeight="1">
      <c r="A22" s="716" t="s">
        <v>34</v>
      </c>
      <c r="B22" s="7" t="s">
        <v>0</v>
      </c>
      <c r="C22" s="606"/>
      <c r="D22" s="562">
        <v>2450.7866666666664</v>
      </c>
      <c r="E22" s="566">
        <v>1689.44</v>
      </c>
      <c r="F22" s="596">
        <f t="shared" si="0"/>
        <v>4000</v>
      </c>
      <c r="G22" s="571">
        <v>2000</v>
      </c>
      <c r="H22" s="571">
        <v>2000</v>
      </c>
    </row>
    <row r="23" spans="1:8" s="1" customFormat="1" ht="19.5" customHeight="1">
      <c r="A23" s="718"/>
      <c r="B23" s="24" t="s">
        <v>30</v>
      </c>
      <c r="C23" s="610">
        <v>131277.55</v>
      </c>
      <c r="D23" s="476">
        <v>100447.21416666667</v>
      </c>
      <c r="E23" s="476">
        <v>-59690.46</v>
      </c>
      <c r="F23" s="596">
        <f t="shared" si="0"/>
        <v>216000</v>
      </c>
      <c r="G23" s="573">
        <v>108000</v>
      </c>
      <c r="H23" s="573">
        <v>108000</v>
      </c>
    </row>
    <row r="24" spans="1:8" s="1" customFormat="1" ht="15.75" customHeight="1">
      <c r="A24" s="718"/>
      <c r="B24" s="25" t="s">
        <v>31</v>
      </c>
      <c r="C24" s="610"/>
      <c r="D24" s="476">
        <v>6308.915</v>
      </c>
      <c r="E24" s="476">
        <v>-9827.64</v>
      </c>
      <c r="F24" s="596">
        <f t="shared" si="0"/>
        <v>16000</v>
      </c>
      <c r="G24" s="573">
        <v>8000</v>
      </c>
      <c r="H24" s="573">
        <v>8000</v>
      </c>
    </row>
    <row r="25" spans="1:8" s="1" customFormat="1" ht="15.75" customHeight="1">
      <c r="A25" s="718"/>
      <c r="B25" s="25" t="s">
        <v>55</v>
      </c>
      <c r="C25" s="610"/>
      <c r="D25" s="476">
        <v>209051.31</v>
      </c>
      <c r="E25" s="567">
        <v>192965.72</v>
      </c>
      <c r="F25" s="596">
        <f t="shared" si="0"/>
        <v>386000</v>
      </c>
      <c r="G25" s="573">
        <v>193000</v>
      </c>
      <c r="H25" s="573">
        <v>193000</v>
      </c>
    </row>
    <row r="26" spans="1:8" s="1" customFormat="1" ht="15.75" customHeight="1">
      <c r="A26" s="718"/>
      <c r="B26" s="25" t="s">
        <v>41</v>
      </c>
      <c r="C26" s="610"/>
      <c r="D26" s="476">
        <v>1987.9591666666668</v>
      </c>
      <c r="E26" s="476">
        <v>-8144.49</v>
      </c>
      <c r="F26" s="596">
        <f t="shared" si="0"/>
        <v>6000</v>
      </c>
      <c r="G26" s="573">
        <v>3000</v>
      </c>
      <c r="H26" s="573">
        <v>3000</v>
      </c>
    </row>
    <row r="27" spans="1:8" s="1" customFormat="1" ht="21.75" customHeight="1" thickBot="1">
      <c r="A27" s="717"/>
      <c r="B27" s="24" t="s">
        <v>15</v>
      </c>
      <c r="C27" s="607"/>
      <c r="D27" s="563">
        <v>28668.361666666664</v>
      </c>
      <c r="E27" s="563">
        <v>-462.2900000000318</v>
      </c>
      <c r="F27" s="596">
        <f t="shared" si="0"/>
        <v>60000</v>
      </c>
      <c r="G27" s="569">
        <v>30000</v>
      </c>
      <c r="H27" s="569">
        <v>30000</v>
      </c>
    </row>
    <row r="28" spans="1:8" s="1" customFormat="1" ht="19.5" customHeight="1" thickBot="1">
      <c r="A28" s="723" t="s">
        <v>16</v>
      </c>
      <c r="B28" s="724"/>
      <c r="C28" s="608">
        <v>131277.55</v>
      </c>
      <c r="D28" s="591">
        <v>348914.54666666663</v>
      </c>
      <c r="E28" s="591">
        <v>116530.28</v>
      </c>
      <c r="F28" s="570">
        <f>F22+F23+F24+F25+F26+F27</f>
        <v>688000</v>
      </c>
      <c r="G28" s="570">
        <f>G22+G23+G24+G25+G26+G27</f>
        <v>344000</v>
      </c>
      <c r="H28" s="570">
        <f>H22+H23+H24+H25+H26+H27</f>
        <v>344000</v>
      </c>
    </row>
    <row r="29" spans="1:8" s="1" customFormat="1" ht="17.25" customHeight="1">
      <c r="A29" s="716" t="s">
        <v>17</v>
      </c>
      <c r="B29" s="7" t="s">
        <v>24</v>
      </c>
      <c r="C29" s="606"/>
      <c r="D29" s="562">
        <v>0</v>
      </c>
      <c r="E29" s="562"/>
      <c r="F29" s="596">
        <f t="shared" si="0"/>
        <v>0</v>
      </c>
      <c r="G29" s="571"/>
      <c r="H29" s="571"/>
    </row>
    <row r="30" spans="1:8" s="1" customFormat="1" ht="17.25" customHeight="1">
      <c r="A30" s="718"/>
      <c r="B30" s="7" t="s">
        <v>23</v>
      </c>
      <c r="C30" s="610">
        <v>5160.09</v>
      </c>
      <c r="D30" s="476">
        <v>7573.052500000001</v>
      </c>
      <c r="E30" s="476">
        <v>-4.940000000002328</v>
      </c>
      <c r="F30" s="596">
        <f t="shared" si="0"/>
        <v>13000</v>
      </c>
      <c r="G30" s="573">
        <v>7000</v>
      </c>
      <c r="H30" s="573">
        <v>6000</v>
      </c>
    </row>
    <row r="31" spans="1:8" s="1" customFormat="1" ht="17.25" customHeight="1" thickBot="1">
      <c r="A31" s="718"/>
      <c r="B31" s="22" t="s">
        <v>25</v>
      </c>
      <c r="C31" s="610">
        <v>13.84</v>
      </c>
      <c r="D31" s="476">
        <v>33.41</v>
      </c>
      <c r="E31" s="476">
        <v>-15.04</v>
      </c>
      <c r="F31" s="596">
        <f t="shared" si="0"/>
        <v>1000</v>
      </c>
      <c r="G31" s="573">
        <v>1000</v>
      </c>
      <c r="H31" s="573">
        <v>0</v>
      </c>
    </row>
    <row r="32" spans="1:8" s="1" customFormat="1" ht="19.5" customHeight="1" thickBot="1">
      <c r="A32" s="725" t="s">
        <v>18</v>
      </c>
      <c r="B32" s="726"/>
      <c r="C32" s="424">
        <f>C30+C31</f>
        <v>5173.93</v>
      </c>
      <c r="D32" s="424">
        <v>7606.462500000001</v>
      </c>
      <c r="E32" s="424">
        <v>-19.980000000002292</v>
      </c>
      <c r="F32" s="574">
        <f>F30+F31</f>
        <v>14000</v>
      </c>
      <c r="G32" s="574">
        <f>G30+G31</f>
        <v>8000</v>
      </c>
      <c r="H32" s="574">
        <f>H30+H31</f>
        <v>6000</v>
      </c>
    </row>
    <row r="33" spans="1:8" s="1" customFormat="1" ht="21.75" customHeight="1" thickBot="1">
      <c r="A33" s="725" t="s">
        <v>26</v>
      </c>
      <c r="B33" s="726"/>
      <c r="C33" s="611"/>
      <c r="D33" s="593">
        <v>61777.71333333334</v>
      </c>
      <c r="E33" s="593">
        <v>-13987.439999999944</v>
      </c>
      <c r="F33" s="596">
        <f t="shared" si="0"/>
        <v>126000</v>
      </c>
      <c r="G33" s="594">
        <v>63000</v>
      </c>
      <c r="H33" s="594">
        <v>63000</v>
      </c>
    </row>
    <row r="34" spans="1:8" s="1" customFormat="1" ht="21" customHeight="1" thickBot="1">
      <c r="A34" s="719" t="s">
        <v>27</v>
      </c>
      <c r="B34" s="720"/>
      <c r="C34" s="609">
        <v>96623.04999999993</v>
      </c>
      <c r="D34" s="589">
        <v>22255.347500000003</v>
      </c>
      <c r="E34" s="589">
        <v>-117.3300000000163</v>
      </c>
      <c r="F34" s="598">
        <f t="shared" si="0"/>
        <v>38000</v>
      </c>
      <c r="G34" s="575">
        <v>19000</v>
      </c>
      <c r="H34" s="575">
        <v>19000</v>
      </c>
    </row>
    <row r="35" spans="1:8" s="1" customFormat="1" ht="25.5" customHeight="1" thickBot="1">
      <c r="A35" s="739" t="s">
        <v>46</v>
      </c>
      <c r="B35" s="740"/>
      <c r="C35" s="612"/>
      <c r="D35" s="556">
        <v>65224</v>
      </c>
      <c r="E35" s="556">
        <v>-2480</v>
      </c>
      <c r="F35" s="601">
        <f>G35+H35</f>
        <v>77376</v>
      </c>
      <c r="G35" s="592">
        <v>38688</v>
      </c>
      <c r="H35" s="592">
        <v>38688</v>
      </c>
    </row>
    <row r="36" spans="1:8" s="1" customFormat="1" ht="18.75" customHeight="1" thickBot="1">
      <c r="A36" s="741" t="s">
        <v>36</v>
      </c>
      <c r="B36" s="742"/>
      <c r="C36" s="613"/>
      <c r="D36" s="564">
        <v>0</v>
      </c>
      <c r="E36" s="564"/>
      <c r="F36" s="596">
        <f t="shared" si="0"/>
        <v>0</v>
      </c>
      <c r="G36" s="576">
        <v>0</v>
      </c>
      <c r="H36" s="576">
        <v>0</v>
      </c>
    </row>
    <row r="37" spans="1:8" s="1" customFormat="1" ht="23.25" customHeight="1" thickBot="1">
      <c r="A37" s="714" t="s">
        <v>37</v>
      </c>
      <c r="B37" s="738"/>
      <c r="C37" s="608"/>
      <c r="D37" s="591">
        <v>400</v>
      </c>
      <c r="E37" s="591">
        <v>-110</v>
      </c>
      <c r="F37" s="602">
        <f>G37+H37</f>
        <v>1000</v>
      </c>
      <c r="G37" s="570">
        <v>1000</v>
      </c>
      <c r="H37" s="570">
        <v>0</v>
      </c>
    </row>
    <row r="38" spans="1:8" s="1" customFormat="1" ht="29.25" customHeight="1" thickBot="1">
      <c r="A38" s="732" t="s">
        <v>121</v>
      </c>
      <c r="B38" s="733"/>
      <c r="C38" s="557">
        <v>2745268.12</v>
      </c>
      <c r="D38" s="557"/>
      <c r="E38" s="557"/>
      <c r="F38" s="577">
        <f>F7+F10+F13+F17+F21+F28+F32+F33+F34+F35+F36+F37</f>
        <v>8572376</v>
      </c>
      <c r="G38" s="577">
        <f>G7+G10+G13+G17+G21+G28+G32+G33+G34+G35+G36+G37</f>
        <v>4288688</v>
      </c>
      <c r="H38" s="577">
        <f>H7+H10+H13+H17+H21+H28+H32+H33+H34+H35+H36+H37</f>
        <v>4283688</v>
      </c>
    </row>
    <row r="39" spans="1:8" s="11" customFormat="1" ht="16.5" customHeight="1">
      <c r="A39" s="2" t="s">
        <v>19</v>
      </c>
      <c r="B39" s="523" t="s">
        <v>47</v>
      </c>
      <c r="C39" s="500">
        <v>1918189.51</v>
      </c>
      <c r="D39" s="500"/>
      <c r="E39" s="500"/>
      <c r="F39" s="578">
        <f>F7+F13+F21+F28+F32+F33</f>
        <v>7535000</v>
      </c>
      <c r="G39" s="578">
        <f>G7+G13+G21+G28+G32+G33</f>
        <v>3769000</v>
      </c>
      <c r="H39" s="578">
        <f>H7+H13+H21+H28+H32+H33</f>
        <v>3766000</v>
      </c>
    </row>
    <row r="40" spans="1:8" s="11" customFormat="1" ht="17.25" customHeight="1" thickBot="1">
      <c r="A40" s="14"/>
      <c r="B40" s="477" t="s">
        <v>20</v>
      </c>
      <c r="C40" s="370">
        <v>96623.04999999993</v>
      </c>
      <c r="D40" s="370"/>
      <c r="E40" s="370"/>
      <c r="F40" s="579">
        <f>F17+F34</f>
        <v>269000</v>
      </c>
      <c r="G40" s="579">
        <f>G17+G34</f>
        <v>135000</v>
      </c>
      <c r="H40" s="579">
        <f>H17+H34</f>
        <v>134000</v>
      </c>
    </row>
    <row r="41" spans="1:8" s="11" customFormat="1" ht="14.25" customHeight="1" thickBot="1">
      <c r="A41" s="87" t="s">
        <v>19</v>
      </c>
      <c r="B41" s="88"/>
      <c r="C41" s="94"/>
      <c r="F41" s="9"/>
      <c r="G41" s="555"/>
      <c r="H41" s="555"/>
    </row>
    <row r="42" spans="1:8" ht="18.75" customHeight="1" thickBot="1">
      <c r="A42" s="734" t="s">
        <v>89</v>
      </c>
      <c r="B42" s="735"/>
      <c r="C42" s="157">
        <v>2745268.12</v>
      </c>
      <c r="D42" s="157"/>
      <c r="E42" s="157"/>
      <c r="F42" s="599">
        <f>F45+F36</f>
        <v>1950000</v>
      </c>
      <c r="G42" s="580">
        <f>G45+G36</f>
        <v>976000</v>
      </c>
      <c r="H42" s="580">
        <f>H45+H36</f>
        <v>974000</v>
      </c>
    </row>
    <row r="43" spans="1:8" ht="18" customHeight="1" thickBot="1">
      <c r="A43" s="400" t="s">
        <v>53</v>
      </c>
      <c r="B43" s="401" t="s">
        <v>91</v>
      </c>
      <c r="C43" s="158">
        <v>0</v>
      </c>
      <c r="D43" s="158"/>
      <c r="E43" s="158"/>
      <c r="F43" s="600">
        <f>F6+F8+F12+F17+F22+F24+F25+F26+F27+F33</f>
        <v>6544000</v>
      </c>
      <c r="G43" s="581">
        <f>G6+G8+G12+G17+G22+G24+G25+G26+G27+G33</f>
        <v>3273000</v>
      </c>
      <c r="H43" s="581">
        <f>H6+H8+H12+H17+H22+H24+H25+H26+H27+H33</f>
        <v>3271000</v>
      </c>
    </row>
    <row r="44" spans="1:8" s="41" customFormat="1" ht="13.5" customHeight="1" thickBot="1">
      <c r="A44" s="40"/>
      <c r="B44" s="23"/>
      <c r="C44" s="159"/>
      <c r="D44" s="159"/>
      <c r="E44" s="159"/>
      <c r="F44" s="582"/>
      <c r="G44" s="582"/>
      <c r="H44" s="582"/>
    </row>
    <row r="45" spans="1:8" s="13" customFormat="1" ht="18" customHeight="1" thickBot="1">
      <c r="A45" s="727" t="s">
        <v>90</v>
      </c>
      <c r="B45" s="728"/>
      <c r="C45" s="150">
        <v>2745268.12</v>
      </c>
      <c r="D45" s="150"/>
      <c r="E45" s="150"/>
      <c r="F45" s="583">
        <f>F5+F9+F11+F21+F23+F32+F34</f>
        <v>1950000</v>
      </c>
      <c r="G45" s="583">
        <f>G5+G9+G11+G21+G23+G32+G34</f>
        <v>976000</v>
      </c>
      <c r="H45" s="583">
        <f>H5+H9+H11+H21+H23+H32+H34</f>
        <v>974000</v>
      </c>
    </row>
    <row r="46" spans="1:8" s="26" customFormat="1" ht="42" customHeight="1">
      <c r="A46" s="729" t="s">
        <v>38</v>
      </c>
      <c r="B46" s="729"/>
      <c r="C46" s="614"/>
      <c r="D46" s="521"/>
      <c r="E46" s="521"/>
      <c r="F46" s="584"/>
      <c r="G46" s="584"/>
      <c r="H46" s="584"/>
    </row>
  </sheetData>
  <sheetProtection/>
  <mergeCells count="22">
    <mergeCell ref="A11:A12"/>
    <mergeCell ref="A14:A16"/>
    <mergeCell ref="A3:B3"/>
    <mergeCell ref="A5:A6"/>
    <mergeCell ref="A7:B7"/>
    <mergeCell ref="A10:B10"/>
    <mergeCell ref="A28:B28"/>
    <mergeCell ref="A29:A31"/>
    <mergeCell ref="A32:B32"/>
    <mergeCell ref="A33:B33"/>
    <mergeCell ref="A18:B18"/>
    <mergeCell ref="A19:A20"/>
    <mergeCell ref="A21:B21"/>
    <mergeCell ref="A22:A27"/>
    <mergeCell ref="A45:B45"/>
    <mergeCell ref="A46:B46"/>
    <mergeCell ref="A34:B34"/>
    <mergeCell ref="A35:B35"/>
    <mergeCell ref="A38:B38"/>
    <mergeCell ref="A42:B42"/>
    <mergeCell ref="A36:B36"/>
    <mergeCell ref="A37:B37"/>
  </mergeCells>
  <printOptions/>
  <pageMargins left="0.64" right="0.2" top="0.24" bottom="0.23" header="0.2" footer="0.21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47"/>
  <sheetViews>
    <sheetView workbookViewId="0" topLeftCell="A1">
      <pane xSplit="4260" topLeftCell="BR1" activePane="topRight" state="split"/>
      <selection pane="topLeft" activeCell="CD5" sqref="CD5"/>
      <selection pane="topRight" activeCell="CA48" sqref="CA48"/>
    </sheetView>
  </sheetViews>
  <sheetFormatPr defaultColWidth="9.140625" defaultRowHeight="12.75"/>
  <cols>
    <col min="1" max="1" width="14.140625" style="18" customWidth="1"/>
    <col min="2" max="2" width="22.7109375" style="19" customWidth="1"/>
    <col min="3" max="3" width="13.8515625" style="74" hidden="1" customWidth="1"/>
    <col min="4" max="4" width="13.28125" style="9" hidden="1" customWidth="1"/>
    <col min="5" max="5" width="12.57421875" style="27" hidden="1" customWidth="1"/>
    <col min="6" max="6" width="12.8515625" style="27" hidden="1" customWidth="1"/>
    <col min="7" max="7" width="11.28125" style="127" hidden="1" customWidth="1"/>
    <col min="8" max="8" width="10.7109375" style="28" hidden="1" customWidth="1"/>
    <col min="9" max="9" width="10.8515625" style="28" hidden="1" customWidth="1"/>
    <col min="10" max="10" width="9.8515625" style="127" customWidth="1"/>
    <col min="11" max="11" width="11.7109375" style="127" hidden="1" customWidth="1"/>
    <col min="12" max="12" width="9.421875" style="161" hidden="1" customWidth="1"/>
    <col min="13" max="13" width="10.140625" style="10" hidden="1" customWidth="1"/>
    <col min="14" max="14" width="10.140625" style="28" hidden="1" customWidth="1"/>
    <col min="15" max="15" width="14.00390625" style="221" hidden="1" customWidth="1"/>
    <col min="16" max="16" width="1.8515625" style="219" hidden="1" customWidth="1"/>
    <col min="17" max="17" width="14.28125" style="219" customWidth="1"/>
    <col min="18" max="18" width="11.28125" style="219" hidden="1" customWidth="1"/>
    <col min="19" max="19" width="12.28125" style="219" hidden="1" customWidth="1"/>
    <col min="20" max="20" width="11.28125" style="219" hidden="1" customWidth="1"/>
    <col min="21" max="21" width="12.7109375" style="27" hidden="1" customWidth="1"/>
    <col min="22" max="23" width="10.140625" style="27" hidden="1" customWidth="1"/>
    <col min="24" max="25" width="11.7109375" style="27" hidden="1" customWidth="1"/>
    <col min="26" max="26" width="10.140625" style="27" hidden="1" customWidth="1"/>
    <col min="27" max="27" width="11.7109375" style="27" hidden="1" customWidth="1"/>
    <col min="28" max="29" width="10.140625" style="27" hidden="1" customWidth="1"/>
    <col min="30" max="30" width="12.7109375" style="27" hidden="1" customWidth="1"/>
    <col min="31" max="33" width="11.7109375" style="27" hidden="1" customWidth="1"/>
    <col min="34" max="34" width="10.140625" style="27" hidden="1" customWidth="1"/>
    <col min="35" max="37" width="11.7109375" style="27" hidden="1" customWidth="1"/>
    <col min="38" max="38" width="10.140625" style="27" hidden="1" customWidth="1"/>
    <col min="39" max="39" width="11.7109375" style="27" hidden="1" customWidth="1"/>
    <col min="40" max="41" width="10.140625" style="27" hidden="1" customWidth="1"/>
    <col min="42" max="42" width="12.7109375" style="27" hidden="1" customWidth="1"/>
    <col min="43" max="45" width="11.7109375" style="27" hidden="1" customWidth="1"/>
    <col min="46" max="46" width="10.140625" style="27" hidden="1" customWidth="1"/>
    <col min="47" max="48" width="11.7109375" style="27" hidden="1" customWidth="1"/>
    <col min="49" max="50" width="10.140625" style="27" hidden="1" customWidth="1"/>
    <col min="51" max="51" width="11.7109375" style="27" hidden="1" customWidth="1"/>
    <col min="52" max="52" width="10.140625" style="27" hidden="1" customWidth="1"/>
    <col min="53" max="53" width="11.7109375" style="27" hidden="1" customWidth="1"/>
    <col min="54" max="54" width="12.7109375" style="27" hidden="1" customWidth="1"/>
    <col min="55" max="57" width="11.7109375" style="27" hidden="1" customWidth="1"/>
    <col min="58" max="58" width="12.28125" style="27" hidden="1" customWidth="1"/>
    <col min="59" max="59" width="10.140625" style="27" hidden="1" customWidth="1"/>
    <col min="60" max="60" width="11.7109375" style="27" hidden="1" customWidth="1"/>
    <col min="61" max="62" width="10.140625" style="27" hidden="1" customWidth="1"/>
    <col min="63" max="63" width="9.140625" style="27" hidden="1" customWidth="1"/>
    <col min="64" max="64" width="8.00390625" style="27" hidden="1" customWidth="1"/>
    <col min="65" max="65" width="10.140625" style="27" hidden="1" customWidth="1"/>
    <col min="66" max="68" width="11.7109375" style="27" hidden="1" customWidth="1"/>
    <col min="69" max="69" width="12.7109375" style="10" bestFit="1" customWidth="1"/>
    <col min="70" max="70" width="13.00390625" style="10" customWidth="1"/>
    <col min="71" max="71" width="11.7109375" style="10" bestFit="1" customWidth="1"/>
    <col min="72" max="72" width="12.8515625" style="10" bestFit="1" customWidth="1"/>
    <col min="73" max="73" width="13.57421875" style="10" customWidth="1"/>
    <col min="74" max="74" width="15.421875" style="10" customWidth="1"/>
    <col min="75" max="75" width="8.7109375" style="402" hidden="1" customWidth="1"/>
    <col min="76" max="76" width="10.57421875" style="161" hidden="1" customWidth="1"/>
    <col min="77" max="77" width="10.421875" style="427" hidden="1" customWidth="1"/>
    <col min="78" max="78" width="10.140625" style="9" hidden="1" customWidth="1"/>
    <col min="79" max="79" width="9.8515625" style="427" customWidth="1"/>
    <col min="80" max="80" width="10.28125" style="517" hidden="1" customWidth="1"/>
    <col min="81" max="81" width="19.421875" style="204" customWidth="1"/>
    <col min="82" max="82" width="20.57421875" style="204" customWidth="1"/>
    <col min="83" max="16384" width="9.140625" style="10" customWidth="1"/>
  </cols>
  <sheetData>
    <row r="1" spans="1:12" ht="13.5" customHeight="1">
      <c r="A1" s="43" t="s">
        <v>1</v>
      </c>
      <c r="B1" s="43"/>
      <c r="C1" s="73"/>
      <c r="D1" s="44"/>
      <c r="L1" s="160"/>
    </row>
    <row r="2" ht="15.75" customHeight="1"/>
    <row r="3" spans="1:12" ht="15.75" customHeight="1" thickBot="1">
      <c r="A3" s="722" t="s">
        <v>66</v>
      </c>
      <c r="B3" s="722"/>
      <c r="C3" s="722"/>
      <c r="D3" s="722"/>
      <c r="L3" s="162"/>
    </row>
    <row r="4" spans="1:82" s="18" customFormat="1" ht="56.25" customHeight="1" thickBot="1">
      <c r="A4" s="20" t="s">
        <v>2</v>
      </c>
      <c r="B4" s="21" t="s">
        <v>3</v>
      </c>
      <c r="C4" s="135" t="s">
        <v>44</v>
      </c>
      <c r="D4" s="45" t="s">
        <v>40</v>
      </c>
      <c r="E4" s="112" t="s">
        <v>50</v>
      </c>
      <c r="F4" s="113" t="s">
        <v>51</v>
      </c>
      <c r="G4" s="144" t="s">
        <v>60</v>
      </c>
      <c r="H4" s="142" t="s">
        <v>48</v>
      </c>
      <c r="I4" s="290" t="s">
        <v>49</v>
      </c>
      <c r="J4" s="383" t="s">
        <v>88</v>
      </c>
      <c r="K4" s="339" t="s">
        <v>54</v>
      </c>
      <c r="L4" s="340" t="s">
        <v>42</v>
      </c>
      <c r="M4" s="341" t="s">
        <v>62</v>
      </c>
      <c r="N4" s="289" t="s">
        <v>69</v>
      </c>
      <c r="O4" s="337" t="s">
        <v>63</v>
      </c>
      <c r="P4" s="337" t="s">
        <v>64</v>
      </c>
      <c r="Q4" s="346" t="s">
        <v>65</v>
      </c>
      <c r="R4" s="375" t="s">
        <v>94</v>
      </c>
      <c r="S4" s="375" t="s">
        <v>95</v>
      </c>
      <c r="T4" s="346" t="s">
        <v>96</v>
      </c>
      <c r="U4" s="294" t="s">
        <v>70</v>
      </c>
      <c r="V4" s="295" t="s">
        <v>71</v>
      </c>
      <c r="W4" s="306" t="s">
        <v>72</v>
      </c>
      <c r="X4" s="294" t="s">
        <v>73</v>
      </c>
      <c r="Y4" s="295" t="s">
        <v>74</v>
      </c>
      <c r="Z4" s="296" t="s">
        <v>75</v>
      </c>
      <c r="AA4" s="294" t="s">
        <v>82</v>
      </c>
      <c r="AB4" s="295" t="s">
        <v>83</v>
      </c>
      <c r="AC4" s="306" t="s">
        <v>84</v>
      </c>
      <c r="AD4" s="445" t="s">
        <v>86</v>
      </c>
      <c r="AE4" s="446" t="s">
        <v>85</v>
      </c>
      <c r="AF4" s="447" t="s">
        <v>87</v>
      </c>
      <c r="AG4" s="441" t="s">
        <v>97</v>
      </c>
      <c r="AH4" s="442" t="s">
        <v>98</v>
      </c>
      <c r="AI4" s="444" t="s">
        <v>99</v>
      </c>
      <c r="AJ4" s="441" t="s">
        <v>100</v>
      </c>
      <c r="AK4" s="442" t="s">
        <v>101</v>
      </c>
      <c r="AL4" s="443" t="s">
        <v>102</v>
      </c>
      <c r="AM4" s="441" t="s">
        <v>103</v>
      </c>
      <c r="AN4" s="442" t="s">
        <v>104</v>
      </c>
      <c r="AO4" s="443" t="s">
        <v>105</v>
      </c>
      <c r="AP4" s="460" t="s">
        <v>106</v>
      </c>
      <c r="AQ4" s="461" t="s">
        <v>107</v>
      </c>
      <c r="AR4" s="481" t="s">
        <v>108</v>
      </c>
      <c r="AS4" s="441" t="s">
        <v>109</v>
      </c>
      <c r="AT4" s="443" t="s">
        <v>110</v>
      </c>
      <c r="AU4" s="501" t="s">
        <v>111</v>
      </c>
      <c r="AV4" s="441" t="s">
        <v>112</v>
      </c>
      <c r="AW4" s="442" t="s">
        <v>113</v>
      </c>
      <c r="AX4" s="443" t="s">
        <v>114</v>
      </c>
      <c r="AY4" s="441" t="s">
        <v>115</v>
      </c>
      <c r="AZ4" s="442" t="s">
        <v>116</v>
      </c>
      <c r="BA4" s="443" t="s">
        <v>117</v>
      </c>
      <c r="BB4" s="460" t="s">
        <v>118</v>
      </c>
      <c r="BC4" s="461" t="s">
        <v>119</v>
      </c>
      <c r="BD4" s="481" t="s">
        <v>120</v>
      </c>
      <c r="BE4" s="294" t="s">
        <v>126</v>
      </c>
      <c r="BF4" s="295" t="s">
        <v>127</v>
      </c>
      <c r="BG4" s="296" t="s">
        <v>128</v>
      </c>
      <c r="BH4" s="294" t="s">
        <v>129</v>
      </c>
      <c r="BI4" s="295" t="s">
        <v>130</v>
      </c>
      <c r="BJ4" s="296" t="s">
        <v>131</v>
      </c>
      <c r="BK4" s="294" t="s">
        <v>132</v>
      </c>
      <c r="BL4" s="295" t="s">
        <v>133</v>
      </c>
      <c r="BM4" s="296" t="s">
        <v>134</v>
      </c>
      <c r="BN4" s="524" t="s">
        <v>135</v>
      </c>
      <c r="BO4" s="525" t="s">
        <v>136</v>
      </c>
      <c r="BP4" s="526" t="s">
        <v>137</v>
      </c>
      <c r="BQ4" s="112" t="s">
        <v>76</v>
      </c>
      <c r="BR4" s="113" t="s">
        <v>147</v>
      </c>
      <c r="BS4" s="357" t="s">
        <v>78</v>
      </c>
      <c r="BT4" s="527" t="s">
        <v>79</v>
      </c>
      <c r="BU4" s="143" t="s">
        <v>80</v>
      </c>
      <c r="BV4" s="323" t="s">
        <v>148</v>
      </c>
      <c r="BW4" s="371" t="s">
        <v>69</v>
      </c>
      <c r="BX4" s="409" t="s">
        <v>92</v>
      </c>
      <c r="BY4" s="487" t="s">
        <v>123</v>
      </c>
      <c r="BZ4" s="528" t="s">
        <v>122</v>
      </c>
      <c r="CA4" s="540" t="s">
        <v>124</v>
      </c>
      <c r="CB4" s="531" t="s">
        <v>125</v>
      </c>
      <c r="CC4" s="545" t="s">
        <v>146</v>
      </c>
      <c r="CD4" s="545" t="s">
        <v>149</v>
      </c>
    </row>
    <row r="5" spans="1:82" s="1" customFormat="1" ht="18.75" customHeight="1">
      <c r="A5" s="716" t="s">
        <v>7</v>
      </c>
      <c r="B5" s="7" t="s">
        <v>4</v>
      </c>
      <c r="C5" s="81">
        <f>2843980+8400000+300000+300000</f>
        <v>11843980</v>
      </c>
      <c r="D5" s="48">
        <v>2085176</v>
      </c>
      <c r="E5" s="102">
        <v>11608682.78</v>
      </c>
      <c r="F5" s="103">
        <v>11742482.05</v>
      </c>
      <c r="G5" s="145">
        <v>13080765.34</v>
      </c>
      <c r="H5" s="136">
        <v>101497.94999999925</v>
      </c>
      <c r="I5" s="97"/>
      <c r="J5" s="384">
        <v>2219496.19</v>
      </c>
      <c r="K5" s="258">
        <v>967390.2316666666</v>
      </c>
      <c r="L5" s="176"/>
      <c r="M5" s="194"/>
      <c r="N5" s="291"/>
      <c r="O5" s="232">
        <v>2697650</v>
      </c>
      <c r="P5" s="242">
        <v>5525420</v>
      </c>
      <c r="Q5" s="249">
        <f>O5+R5+S5+T5</f>
        <v>8223070</v>
      </c>
      <c r="R5" s="242">
        <f>2900000-1500000</f>
        <v>1400000</v>
      </c>
      <c r="S5" s="242">
        <v>2625420</v>
      </c>
      <c r="T5" s="242">
        <f>1500000</f>
        <v>1500000</v>
      </c>
      <c r="U5" s="307">
        <v>810230.7</v>
      </c>
      <c r="V5" s="308">
        <v>292736.3</v>
      </c>
      <c r="W5" s="309">
        <v>82025.8</v>
      </c>
      <c r="X5" s="307">
        <v>709466.35</v>
      </c>
      <c r="Y5" s="308">
        <v>919177.87</v>
      </c>
      <c r="Z5" s="309">
        <v>538145.91</v>
      </c>
      <c r="AA5" s="307">
        <v>685852.31</v>
      </c>
      <c r="AB5" s="308">
        <v>282981.48</v>
      </c>
      <c r="AC5" s="309">
        <v>321695.86</v>
      </c>
      <c r="AD5" s="102">
        <f aca="true" t="shared" si="0" ref="AD5:AF6">U5+X5+AA5</f>
        <v>2205549.36</v>
      </c>
      <c r="AE5" s="103">
        <f t="shared" si="0"/>
        <v>1494895.65</v>
      </c>
      <c r="AF5" s="448">
        <f t="shared" si="0"/>
        <v>941867.5700000001</v>
      </c>
      <c r="AG5" s="327">
        <v>708392.2</v>
      </c>
      <c r="AH5" s="328">
        <v>182697.11</v>
      </c>
      <c r="AI5" s="334">
        <v>919177.99</v>
      </c>
      <c r="AJ5" s="327">
        <v>824493.56</v>
      </c>
      <c r="AK5" s="328">
        <v>1629743.62</v>
      </c>
      <c r="AL5" s="440">
        <v>283005.47</v>
      </c>
      <c r="AM5" s="327">
        <v>729864.23</v>
      </c>
      <c r="AN5" s="328">
        <v>743406.3</v>
      </c>
      <c r="AO5" s="440">
        <v>182697.11</v>
      </c>
      <c r="AP5" s="267">
        <f aca="true" t="shared" si="1" ref="AP5:AR6">AG5+AJ5+AM5</f>
        <v>2262749.99</v>
      </c>
      <c r="AQ5" s="268">
        <f t="shared" si="1"/>
        <v>2555847.0300000003</v>
      </c>
      <c r="AR5" s="482">
        <f t="shared" si="1"/>
        <v>1384880.5699999998</v>
      </c>
      <c r="AS5" s="327">
        <v>707415.07</v>
      </c>
      <c r="AT5" s="440">
        <v>369828.74</v>
      </c>
      <c r="AU5" s="502">
        <v>1629743.62</v>
      </c>
      <c r="AV5" s="327">
        <v>717364.83</v>
      </c>
      <c r="AW5" s="328">
        <v>655534.99</v>
      </c>
      <c r="AX5" s="440">
        <v>367334.24</v>
      </c>
      <c r="AY5" s="327">
        <v>557660.2</v>
      </c>
      <c r="AZ5" s="328">
        <v>714958.8</v>
      </c>
      <c r="BA5" s="440">
        <v>745900.8</v>
      </c>
      <c r="BB5" s="267">
        <f aca="true" t="shared" si="2" ref="BB5:BD6">AS5+AV5+AY5</f>
        <v>1982440.0999999999</v>
      </c>
      <c r="BC5" s="268">
        <f t="shared" si="2"/>
        <v>1740322.53</v>
      </c>
      <c r="BD5" s="462">
        <f t="shared" si="2"/>
        <v>2742978.66</v>
      </c>
      <c r="BE5" s="307">
        <v>756278.24</v>
      </c>
      <c r="BF5" s="308">
        <v>1013564.68</v>
      </c>
      <c r="BG5" s="310">
        <v>655534.18</v>
      </c>
      <c r="BH5" s="307">
        <v>597177</v>
      </c>
      <c r="BI5" s="308">
        <v>201504.74</v>
      </c>
      <c r="BJ5" s="310">
        <v>714959.61</v>
      </c>
      <c r="BK5" s="307"/>
      <c r="BL5" s="308"/>
      <c r="BM5" s="309"/>
      <c r="BN5" s="307">
        <f aca="true" t="shared" si="3" ref="BN5:BP6">BE5+BH5+BK5</f>
        <v>1353455.24</v>
      </c>
      <c r="BO5" s="308">
        <f t="shared" si="3"/>
        <v>1215069.42</v>
      </c>
      <c r="BP5" s="309">
        <f t="shared" si="3"/>
        <v>1370493.79</v>
      </c>
      <c r="BQ5" s="358">
        <v>8472610.45</v>
      </c>
      <c r="BR5" s="359">
        <v>7977047.54</v>
      </c>
      <c r="BS5" s="418">
        <v>6440232.9799999995</v>
      </c>
      <c r="BT5" s="484">
        <v>246022.46</v>
      </c>
      <c r="BU5" s="355"/>
      <c r="BV5" s="510">
        <v>1733449.83</v>
      </c>
      <c r="BW5" s="403"/>
      <c r="BX5" s="468">
        <v>-1202754.35</v>
      </c>
      <c r="BY5" s="488">
        <f>BR5-BZ5</f>
        <v>1253977.54</v>
      </c>
      <c r="BZ5" s="529">
        <f aca="true" t="shared" si="4" ref="BZ5:BZ16">O5+R5+S5</f>
        <v>6723070</v>
      </c>
      <c r="CA5" s="133">
        <v>706050.8708333332</v>
      </c>
      <c r="CB5" s="476">
        <v>0</v>
      </c>
      <c r="CC5" s="546">
        <v>682000</v>
      </c>
      <c r="CD5" s="546">
        <v>682000</v>
      </c>
    </row>
    <row r="6" spans="1:82" s="1" customFormat="1" ht="18.75" customHeight="1" thickBot="1">
      <c r="A6" s="717"/>
      <c r="B6" s="22" t="s">
        <v>5</v>
      </c>
      <c r="C6" s="85">
        <f>2550000+7472360-300000</f>
        <v>9722360</v>
      </c>
      <c r="D6" s="52"/>
      <c r="E6" s="106">
        <v>9768801.15</v>
      </c>
      <c r="F6" s="107">
        <v>0</v>
      </c>
      <c r="G6" s="151">
        <v>0</v>
      </c>
      <c r="H6" s="139"/>
      <c r="I6" s="99">
        <v>-46441.15000000037</v>
      </c>
      <c r="J6" s="385"/>
      <c r="K6" s="257">
        <v>814066.7625000001</v>
      </c>
      <c r="L6" s="177">
        <v>84020</v>
      </c>
      <c r="M6" s="193"/>
      <c r="N6" s="291"/>
      <c r="O6" s="233">
        <v>2700000</v>
      </c>
      <c r="P6" s="243">
        <v>5000000</v>
      </c>
      <c r="Q6" s="249">
        <f>O6+R6+S6+T6</f>
        <v>9559010</v>
      </c>
      <c r="R6" s="243">
        <f>2500000-900000</f>
        <v>1600000</v>
      </c>
      <c r="S6" s="243">
        <v>2500000</v>
      </c>
      <c r="T6" s="243">
        <f>900000+683650+461770+213590+500000</f>
        <v>2759010</v>
      </c>
      <c r="U6" s="311">
        <v>888954.14</v>
      </c>
      <c r="V6" s="312"/>
      <c r="W6" s="313"/>
      <c r="X6" s="311">
        <v>796922.01</v>
      </c>
      <c r="Y6" s="312"/>
      <c r="Z6" s="313"/>
      <c r="AA6" s="311">
        <v>734838.36</v>
      </c>
      <c r="AB6" s="312"/>
      <c r="AC6" s="313"/>
      <c r="AD6" s="104">
        <f t="shared" si="0"/>
        <v>2420714.51</v>
      </c>
      <c r="AE6" s="105">
        <f t="shared" si="0"/>
        <v>0</v>
      </c>
      <c r="AF6" s="449">
        <f t="shared" si="0"/>
        <v>0</v>
      </c>
      <c r="AG6" s="311">
        <v>728992.05</v>
      </c>
      <c r="AH6" s="312"/>
      <c r="AI6" s="313"/>
      <c r="AJ6" s="311">
        <v>702372.62</v>
      </c>
      <c r="AK6" s="312"/>
      <c r="AL6" s="314"/>
      <c r="AM6" s="311">
        <v>841936.59</v>
      </c>
      <c r="AN6" s="312"/>
      <c r="AO6" s="314"/>
      <c r="AP6" s="267">
        <f t="shared" si="1"/>
        <v>2273301.26</v>
      </c>
      <c r="AQ6" s="268">
        <f t="shared" si="1"/>
        <v>0</v>
      </c>
      <c r="AR6" s="482">
        <f t="shared" si="1"/>
        <v>0</v>
      </c>
      <c r="AS6" s="311">
        <v>884536.39</v>
      </c>
      <c r="AT6" s="314"/>
      <c r="AU6" s="356"/>
      <c r="AV6" s="311">
        <v>842158.63</v>
      </c>
      <c r="AW6" s="312"/>
      <c r="AX6" s="314"/>
      <c r="AY6" s="311">
        <v>739618</v>
      </c>
      <c r="AZ6" s="312"/>
      <c r="BA6" s="314"/>
      <c r="BB6" s="267">
        <f t="shared" si="2"/>
        <v>2466313.02</v>
      </c>
      <c r="BC6" s="268">
        <f t="shared" si="2"/>
        <v>0</v>
      </c>
      <c r="BD6" s="462">
        <f t="shared" si="2"/>
        <v>0</v>
      </c>
      <c r="BE6" s="311">
        <v>824839.78</v>
      </c>
      <c r="BF6" s="312"/>
      <c r="BG6" s="314"/>
      <c r="BH6" s="311">
        <v>779590.34</v>
      </c>
      <c r="BI6" s="312"/>
      <c r="BJ6" s="314"/>
      <c r="BK6" s="311"/>
      <c r="BL6" s="312"/>
      <c r="BM6" s="313"/>
      <c r="BN6" s="311">
        <f t="shared" si="3"/>
        <v>1604430.12</v>
      </c>
      <c r="BO6" s="312">
        <f t="shared" si="3"/>
        <v>0</v>
      </c>
      <c r="BP6" s="313">
        <f t="shared" si="3"/>
        <v>0</v>
      </c>
      <c r="BQ6" s="360">
        <v>9638485.629999999</v>
      </c>
      <c r="BR6" s="361">
        <v>0</v>
      </c>
      <c r="BS6" s="419">
        <v>0</v>
      </c>
      <c r="BT6" s="485"/>
      <c r="BU6" s="356">
        <v>-79475.62999999896</v>
      </c>
      <c r="BV6" s="511"/>
      <c r="BW6" s="403"/>
      <c r="BX6" s="469">
        <v>-279285.49</v>
      </c>
      <c r="BY6" s="489">
        <f>BQ6-BZ6</f>
        <v>2838485.629999999</v>
      </c>
      <c r="BZ6" s="529">
        <f t="shared" si="4"/>
        <v>6800000</v>
      </c>
      <c r="CA6" s="133">
        <v>803207.1358333332</v>
      </c>
      <c r="CB6" s="476">
        <v>600000</v>
      </c>
      <c r="CC6" s="210">
        <v>800000</v>
      </c>
      <c r="CD6" s="210">
        <v>800000</v>
      </c>
    </row>
    <row r="7" spans="1:82" s="1" customFormat="1" ht="24" customHeight="1" thickBot="1">
      <c r="A7" s="719" t="s">
        <v>45</v>
      </c>
      <c r="B7" s="720"/>
      <c r="C7" s="84">
        <f aca="true" t="shared" si="5" ref="C7:I7">C5+C6</f>
        <v>21566340</v>
      </c>
      <c r="D7" s="285">
        <f t="shared" si="5"/>
        <v>2085176</v>
      </c>
      <c r="E7" s="285">
        <f t="shared" si="5"/>
        <v>21377483.93</v>
      </c>
      <c r="F7" s="285">
        <f t="shared" si="5"/>
        <v>11742482.05</v>
      </c>
      <c r="G7" s="285">
        <f t="shared" si="5"/>
        <v>13080765.34</v>
      </c>
      <c r="H7" s="285">
        <f t="shared" si="5"/>
        <v>101497.94999999925</v>
      </c>
      <c r="I7" s="285">
        <f t="shared" si="5"/>
        <v>-46441.15000000037</v>
      </c>
      <c r="J7" s="386"/>
      <c r="K7" s="285">
        <f>K5+K6</f>
        <v>1781456.9941666666</v>
      </c>
      <c r="L7" s="285">
        <f>L5+L6</f>
        <v>84020</v>
      </c>
      <c r="M7" s="286">
        <f>F5+E6+L6-C7</f>
        <v>28963.20000000298</v>
      </c>
      <c r="N7" s="292">
        <v>28963.2</v>
      </c>
      <c r="O7" s="492">
        <f aca="true" t="shared" si="6" ref="O7:AT7">O5+O6</f>
        <v>5397650</v>
      </c>
      <c r="P7" s="492">
        <f t="shared" si="6"/>
        <v>10525420</v>
      </c>
      <c r="Q7" s="491">
        <f t="shared" si="6"/>
        <v>17782080</v>
      </c>
      <c r="R7" s="347">
        <f t="shared" si="6"/>
        <v>3000000</v>
      </c>
      <c r="S7" s="347">
        <f t="shared" si="6"/>
        <v>5125420</v>
      </c>
      <c r="T7" s="347">
        <f t="shared" si="6"/>
        <v>4259010</v>
      </c>
      <c r="U7" s="364">
        <f t="shared" si="6"/>
        <v>1699184.8399999999</v>
      </c>
      <c r="V7" s="364">
        <f t="shared" si="6"/>
        <v>292736.3</v>
      </c>
      <c r="W7" s="364">
        <f t="shared" si="6"/>
        <v>82025.8</v>
      </c>
      <c r="X7" s="364">
        <f t="shared" si="6"/>
        <v>1506388.3599999999</v>
      </c>
      <c r="Y7" s="364">
        <f t="shared" si="6"/>
        <v>919177.87</v>
      </c>
      <c r="Z7" s="364">
        <f t="shared" si="6"/>
        <v>538145.91</v>
      </c>
      <c r="AA7" s="364">
        <f t="shared" si="6"/>
        <v>1420690.67</v>
      </c>
      <c r="AB7" s="364">
        <f t="shared" si="6"/>
        <v>282981.48</v>
      </c>
      <c r="AC7" s="422">
        <f t="shared" si="6"/>
        <v>321695.86</v>
      </c>
      <c r="AD7" s="450">
        <f t="shared" si="6"/>
        <v>4626263.869999999</v>
      </c>
      <c r="AE7" s="450">
        <f t="shared" si="6"/>
        <v>1494895.65</v>
      </c>
      <c r="AF7" s="451">
        <f t="shared" si="6"/>
        <v>941867.5700000001</v>
      </c>
      <c r="AG7" s="422">
        <f t="shared" si="6"/>
        <v>1437384.25</v>
      </c>
      <c r="AH7" s="422">
        <f t="shared" si="6"/>
        <v>182697.11</v>
      </c>
      <c r="AI7" s="422">
        <f t="shared" si="6"/>
        <v>919177.99</v>
      </c>
      <c r="AJ7" s="422">
        <f t="shared" si="6"/>
        <v>1526866.1800000002</v>
      </c>
      <c r="AK7" s="422">
        <f t="shared" si="6"/>
        <v>1629743.62</v>
      </c>
      <c r="AL7" s="422">
        <f t="shared" si="6"/>
        <v>283005.47</v>
      </c>
      <c r="AM7" s="422">
        <f t="shared" si="6"/>
        <v>1571800.8199999998</v>
      </c>
      <c r="AN7" s="422">
        <f t="shared" si="6"/>
        <v>743406.3</v>
      </c>
      <c r="AO7" s="364">
        <f t="shared" si="6"/>
        <v>182697.11</v>
      </c>
      <c r="AP7" s="451">
        <f t="shared" si="6"/>
        <v>4536051.25</v>
      </c>
      <c r="AQ7" s="451">
        <f t="shared" si="6"/>
        <v>2555847.0300000003</v>
      </c>
      <c r="AR7" s="450">
        <f t="shared" si="6"/>
        <v>1384880.5699999998</v>
      </c>
      <c r="AS7" s="422">
        <f t="shared" si="6"/>
        <v>1591951.46</v>
      </c>
      <c r="AT7" s="364">
        <f t="shared" si="6"/>
        <v>369828.74</v>
      </c>
      <c r="AU7" s="478">
        <f aca="true" t="shared" si="7" ref="AU7:BP7">AU5+AU6</f>
        <v>1629743.62</v>
      </c>
      <c r="AV7" s="422">
        <f t="shared" si="7"/>
        <v>1559523.46</v>
      </c>
      <c r="AW7" s="422">
        <f t="shared" si="7"/>
        <v>655534.99</v>
      </c>
      <c r="AX7" s="364">
        <f t="shared" si="7"/>
        <v>367334.24</v>
      </c>
      <c r="AY7" s="422">
        <f t="shared" si="7"/>
        <v>1297278.2</v>
      </c>
      <c r="AZ7" s="422">
        <f t="shared" si="7"/>
        <v>714958.8</v>
      </c>
      <c r="BA7" s="364">
        <f t="shared" si="7"/>
        <v>745900.8</v>
      </c>
      <c r="BB7" s="364">
        <f t="shared" si="7"/>
        <v>4448753.12</v>
      </c>
      <c r="BC7" s="364">
        <f t="shared" si="7"/>
        <v>1740322.53</v>
      </c>
      <c r="BD7" s="364">
        <f t="shared" si="7"/>
        <v>2742978.66</v>
      </c>
      <c r="BE7" s="364">
        <f t="shared" si="7"/>
        <v>1581118.02</v>
      </c>
      <c r="BF7" s="364">
        <f t="shared" si="7"/>
        <v>1013564.68</v>
      </c>
      <c r="BG7" s="364">
        <f t="shared" si="7"/>
        <v>655534.18</v>
      </c>
      <c r="BH7" s="364">
        <f t="shared" si="7"/>
        <v>1376767.3399999999</v>
      </c>
      <c r="BI7" s="364">
        <f t="shared" si="7"/>
        <v>201504.74</v>
      </c>
      <c r="BJ7" s="364">
        <f t="shared" si="7"/>
        <v>714959.61</v>
      </c>
      <c r="BK7" s="364">
        <f t="shared" si="7"/>
        <v>0</v>
      </c>
      <c r="BL7" s="364">
        <f t="shared" si="7"/>
        <v>0</v>
      </c>
      <c r="BM7" s="422">
        <f t="shared" si="7"/>
        <v>0</v>
      </c>
      <c r="BN7" s="422">
        <f t="shared" si="7"/>
        <v>2957885.3600000003</v>
      </c>
      <c r="BO7" s="422">
        <f t="shared" si="7"/>
        <v>1215069.42</v>
      </c>
      <c r="BP7" s="422">
        <f t="shared" si="7"/>
        <v>1370493.79</v>
      </c>
      <c r="BQ7" s="422">
        <v>18111096.08</v>
      </c>
      <c r="BR7" s="422">
        <v>7977047.54</v>
      </c>
      <c r="BS7" s="364">
        <v>6440232.9799999995</v>
      </c>
      <c r="BT7" s="410">
        <v>246022.46</v>
      </c>
      <c r="BU7" s="364">
        <v>-79475.62999999896</v>
      </c>
      <c r="BV7" s="474">
        <v>1733449.83</v>
      </c>
      <c r="BW7" s="404">
        <v>28963.2</v>
      </c>
      <c r="BX7" s="470">
        <v>-1482039.84</v>
      </c>
      <c r="BY7" s="470">
        <f>BY5+BY6+BW7</f>
        <v>4121426.369999999</v>
      </c>
      <c r="BZ7" s="529">
        <f t="shared" si="4"/>
        <v>13523070</v>
      </c>
      <c r="CA7" s="133">
        <v>1509258.0066666666</v>
      </c>
      <c r="CB7" s="470">
        <f>CB6+BW7</f>
        <v>628963.2</v>
      </c>
      <c r="CC7" s="208">
        <f>CC5+CC6</f>
        <v>1482000</v>
      </c>
      <c r="CD7" s="208">
        <f>CD5+CD6</f>
        <v>1482000</v>
      </c>
    </row>
    <row r="8" spans="1:82" s="1" customFormat="1" ht="18.75" customHeight="1">
      <c r="A8" s="115"/>
      <c r="B8" s="116" t="s">
        <v>33</v>
      </c>
      <c r="C8" s="117">
        <f>442840+4562790-2200000</f>
        <v>2805630</v>
      </c>
      <c r="D8" s="114"/>
      <c r="E8" s="274">
        <v>2212033.89</v>
      </c>
      <c r="F8" s="275">
        <v>0</v>
      </c>
      <c r="G8" s="276">
        <v>0</v>
      </c>
      <c r="H8" s="277">
        <v>593596.11</v>
      </c>
      <c r="I8" s="278">
        <v>593596.11</v>
      </c>
      <c r="J8" s="387"/>
      <c r="K8" s="280">
        <v>184336.1575</v>
      </c>
      <c r="L8" s="174"/>
      <c r="M8" s="281"/>
      <c r="N8" s="291"/>
      <c r="O8" s="493">
        <v>536410</v>
      </c>
      <c r="P8" s="494">
        <v>4476150</v>
      </c>
      <c r="Q8" s="495">
        <f>O8+R8+S8+T8</f>
        <v>2430000</v>
      </c>
      <c r="R8" s="372">
        <v>500000</v>
      </c>
      <c r="S8" s="372">
        <v>1500000</v>
      </c>
      <c r="T8" s="372">
        <f>2476150-2390000-192560</f>
        <v>-106410</v>
      </c>
      <c r="U8" s="311">
        <v>162607.56</v>
      </c>
      <c r="V8" s="312"/>
      <c r="W8" s="313"/>
      <c r="X8" s="311">
        <v>187155.56</v>
      </c>
      <c r="Y8" s="312"/>
      <c r="Z8" s="313"/>
      <c r="AA8" s="311">
        <v>183846.45</v>
      </c>
      <c r="AB8" s="312"/>
      <c r="AC8" s="313"/>
      <c r="AD8" s="104">
        <f aca="true" t="shared" si="8" ref="AD8:AF9">U8+X8+AA8</f>
        <v>533609.5700000001</v>
      </c>
      <c r="AE8" s="105">
        <f t="shared" si="8"/>
        <v>0</v>
      </c>
      <c r="AF8" s="449">
        <f t="shared" si="8"/>
        <v>0</v>
      </c>
      <c r="AG8" s="311">
        <v>245689.62</v>
      </c>
      <c r="AH8" s="312"/>
      <c r="AI8" s="313"/>
      <c r="AJ8" s="311">
        <v>267256.45</v>
      </c>
      <c r="AK8" s="312"/>
      <c r="AL8" s="314"/>
      <c r="AM8" s="311">
        <v>241326.97</v>
      </c>
      <c r="AN8" s="312"/>
      <c r="AO8" s="314"/>
      <c r="AP8" s="267">
        <f aca="true" t="shared" si="9" ref="AP8:AR9">AG8+AJ8+AM8</f>
        <v>754273.04</v>
      </c>
      <c r="AQ8" s="268">
        <f t="shared" si="9"/>
        <v>0</v>
      </c>
      <c r="AR8" s="482">
        <f t="shared" si="9"/>
        <v>0</v>
      </c>
      <c r="AS8" s="311">
        <v>207059.71</v>
      </c>
      <c r="AT8" s="314"/>
      <c r="AU8" s="356"/>
      <c r="AV8" s="311">
        <v>196141.73</v>
      </c>
      <c r="AW8" s="312"/>
      <c r="AX8" s="314"/>
      <c r="AY8" s="311">
        <v>170054.01</v>
      </c>
      <c r="AZ8" s="312"/>
      <c r="BA8" s="314"/>
      <c r="BB8" s="267">
        <f aca="true" t="shared" si="10" ref="BB8:BD9">AS8+AV8+AY8</f>
        <v>573255.45</v>
      </c>
      <c r="BC8" s="268">
        <f t="shared" si="10"/>
        <v>0</v>
      </c>
      <c r="BD8" s="462">
        <f t="shared" si="10"/>
        <v>0</v>
      </c>
      <c r="BE8" s="311">
        <v>184439.35</v>
      </c>
      <c r="BF8" s="312"/>
      <c r="BG8" s="314"/>
      <c r="BH8" s="311">
        <v>194710.91</v>
      </c>
      <c r="BI8" s="312"/>
      <c r="BJ8" s="314"/>
      <c r="BK8" s="311"/>
      <c r="BL8" s="312"/>
      <c r="BM8" s="313"/>
      <c r="BN8" s="311">
        <f aca="true" t="shared" si="11" ref="BN8:BP9">BE8+BH8+BK8</f>
        <v>379150.26</v>
      </c>
      <c r="BO8" s="312">
        <f t="shared" si="11"/>
        <v>0</v>
      </c>
      <c r="BP8" s="313">
        <f t="shared" si="11"/>
        <v>0</v>
      </c>
      <c r="BQ8" s="360">
        <v>2428753.56</v>
      </c>
      <c r="BR8" s="361">
        <v>0</v>
      </c>
      <c r="BS8" s="419">
        <v>0</v>
      </c>
      <c r="BT8" s="485"/>
      <c r="BU8" s="356">
        <v>1246.4399999999441</v>
      </c>
      <c r="BV8" s="32"/>
      <c r="BW8" s="403"/>
      <c r="BX8" s="469">
        <v>-2800.429999999935</v>
      </c>
      <c r="BY8" s="469">
        <f>BQ8-BZ8</f>
        <v>-107656.43999999994</v>
      </c>
      <c r="BZ8" s="529">
        <f t="shared" si="4"/>
        <v>2536410</v>
      </c>
      <c r="CA8" s="133">
        <v>202396.13</v>
      </c>
      <c r="CB8" s="476">
        <v>-190000</v>
      </c>
      <c r="CC8" s="209">
        <v>200000</v>
      </c>
      <c r="CD8" s="209">
        <v>200000</v>
      </c>
    </row>
    <row r="9" spans="1:82" s="1" customFormat="1" ht="18.75" customHeight="1" thickBot="1">
      <c r="A9" s="259"/>
      <c r="B9" s="273" t="s">
        <v>67</v>
      </c>
      <c r="C9" s="260"/>
      <c r="D9" s="261"/>
      <c r="E9" s="256"/>
      <c r="F9" s="262"/>
      <c r="G9" s="263"/>
      <c r="H9" s="264"/>
      <c r="I9" s="265"/>
      <c r="J9" s="388">
        <v>0</v>
      </c>
      <c r="K9" s="257"/>
      <c r="L9" s="266"/>
      <c r="M9" s="193"/>
      <c r="N9" s="291"/>
      <c r="O9" s="496">
        <v>165000</v>
      </c>
      <c r="P9" s="497">
        <v>1485000</v>
      </c>
      <c r="Q9" s="498">
        <f>O9+R9+S9+T9</f>
        <v>1714000</v>
      </c>
      <c r="R9" s="373">
        <f>500000-200000</f>
        <v>300000</v>
      </c>
      <c r="S9" s="373">
        <f>500000+6564000-6500000+500000</f>
        <v>1064000</v>
      </c>
      <c r="T9" s="373">
        <f>685000-500000</f>
        <v>185000</v>
      </c>
      <c r="U9" s="311">
        <v>0</v>
      </c>
      <c r="V9" s="312">
        <v>54382.37</v>
      </c>
      <c r="W9" s="313"/>
      <c r="X9" s="311">
        <v>13595.59</v>
      </c>
      <c r="Y9" s="312"/>
      <c r="Z9" s="313"/>
      <c r="AA9" s="311">
        <v>52660.56</v>
      </c>
      <c r="AB9" s="312">
        <v>38204.06</v>
      </c>
      <c r="AC9" s="313">
        <v>54382.37</v>
      </c>
      <c r="AD9" s="104">
        <f t="shared" si="8"/>
        <v>66256.15</v>
      </c>
      <c r="AE9" s="105">
        <f t="shared" si="8"/>
        <v>92586.43</v>
      </c>
      <c r="AF9" s="449">
        <f t="shared" si="8"/>
        <v>54382.37</v>
      </c>
      <c r="AG9" s="311">
        <v>52660.56</v>
      </c>
      <c r="AH9" s="312">
        <v>65395.24</v>
      </c>
      <c r="AI9" s="313"/>
      <c r="AJ9" s="311">
        <v>39064.97</v>
      </c>
      <c r="AK9" s="312">
        <v>159703.48</v>
      </c>
      <c r="AL9" s="314">
        <v>38204.06</v>
      </c>
      <c r="AM9" s="311">
        <v>120638.51</v>
      </c>
      <c r="AN9" s="312">
        <v>50938.75</v>
      </c>
      <c r="AO9" s="314">
        <v>65395.24</v>
      </c>
      <c r="AP9" s="267">
        <f t="shared" si="9"/>
        <v>212364.03999999998</v>
      </c>
      <c r="AQ9" s="268">
        <f t="shared" si="9"/>
        <v>276037.47</v>
      </c>
      <c r="AR9" s="482">
        <f t="shared" si="9"/>
        <v>103599.29999999999</v>
      </c>
      <c r="AS9" s="311">
        <v>40834.61</v>
      </c>
      <c r="AT9" s="314">
        <v>343145.29</v>
      </c>
      <c r="AU9" s="356">
        <v>159703.48</v>
      </c>
      <c r="AV9" s="311">
        <v>105416.78</v>
      </c>
      <c r="AW9" s="312"/>
      <c r="AX9" s="314">
        <v>50938.75</v>
      </c>
      <c r="AY9" s="311">
        <v>79899.58</v>
      </c>
      <c r="AZ9" s="312">
        <v>54382.37</v>
      </c>
      <c r="BA9" s="314">
        <v>343145.29</v>
      </c>
      <c r="BB9" s="267">
        <f t="shared" si="10"/>
        <v>226150.97000000003</v>
      </c>
      <c r="BC9" s="268">
        <f t="shared" si="10"/>
        <v>397527.66</v>
      </c>
      <c r="BD9" s="462">
        <f t="shared" si="10"/>
        <v>553787.52</v>
      </c>
      <c r="BE9" s="311">
        <v>141031.91</v>
      </c>
      <c r="BF9" s="312">
        <v>212364.05</v>
      </c>
      <c r="BG9" s="314"/>
      <c r="BH9" s="311">
        <v>146968.8</v>
      </c>
      <c r="BI9" s="312">
        <v>218415.52</v>
      </c>
      <c r="BJ9" s="314">
        <v>54382.37</v>
      </c>
      <c r="BK9" s="311"/>
      <c r="BL9" s="312"/>
      <c r="BM9" s="313">
        <v>212364.05</v>
      </c>
      <c r="BN9" s="311">
        <f t="shared" si="11"/>
        <v>288000.70999999996</v>
      </c>
      <c r="BO9" s="312">
        <f t="shared" si="11"/>
        <v>430779.56999999995</v>
      </c>
      <c r="BP9" s="313">
        <f t="shared" si="11"/>
        <v>266746.42</v>
      </c>
      <c r="BQ9" s="360">
        <v>886219.21</v>
      </c>
      <c r="BR9" s="361">
        <v>1616674.77</v>
      </c>
      <c r="BS9" s="419">
        <v>978524.58</v>
      </c>
      <c r="BT9" s="485">
        <v>97325.23</v>
      </c>
      <c r="BU9" s="356"/>
      <c r="BV9" s="32">
        <v>730455.56</v>
      </c>
      <c r="BW9" s="403"/>
      <c r="BX9" s="469">
        <v>-72413.57</v>
      </c>
      <c r="BY9" s="489">
        <f>BR9-BZ9</f>
        <v>87674.77000000002</v>
      </c>
      <c r="BZ9" s="529">
        <f t="shared" si="4"/>
        <v>1529000</v>
      </c>
      <c r="CA9" s="133">
        <v>73851.60083333333</v>
      </c>
      <c r="CB9" s="476"/>
      <c r="CC9" s="210">
        <v>145000</v>
      </c>
      <c r="CD9" s="210">
        <v>145000</v>
      </c>
    </row>
    <row r="10" spans="1:82" s="1" customFormat="1" ht="23.25" customHeight="1" thickBot="1">
      <c r="A10" s="719" t="s">
        <v>68</v>
      </c>
      <c r="B10" s="720"/>
      <c r="C10" s="84">
        <f aca="true" t="shared" si="12" ref="C10:I10">C8+C9</f>
        <v>2805630</v>
      </c>
      <c r="D10" s="285">
        <f t="shared" si="12"/>
        <v>0</v>
      </c>
      <c r="E10" s="285">
        <f t="shared" si="12"/>
        <v>2212033.89</v>
      </c>
      <c r="F10" s="285">
        <f t="shared" si="12"/>
        <v>0</v>
      </c>
      <c r="G10" s="285">
        <f t="shared" si="12"/>
        <v>0</v>
      </c>
      <c r="H10" s="285">
        <f t="shared" si="12"/>
        <v>593596.11</v>
      </c>
      <c r="I10" s="285">
        <f t="shared" si="12"/>
        <v>593596.11</v>
      </c>
      <c r="J10" s="386"/>
      <c r="K10" s="285">
        <f>K8+K9</f>
        <v>184336.1575</v>
      </c>
      <c r="L10" s="285">
        <f>L8+L9</f>
        <v>0</v>
      </c>
      <c r="M10" s="285">
        <f>M8+M9</f>
        <v>0</v>
      </c>
      <c r="N10" s="291"/>
      <c r="O10" s="285">
        <f aca="true" t="shared" si="13" ref="O10:AT10">O8+O9</f>
        <v>701410</v>
      </c>
      <c r="P10" s="285">
        <f t="shared" si="13"/>
        <v>5961150</v>
      </c>
      <c r="Q10" s="376">
        <f t="shared" si="13"/>
        <v>4144000</v>
      </c>
      <c r="R10" s="347">
        <f t="shared" si="13"/>
        <v>800000</v>
      </c>
      <c r="S10" s="347">
        <f t="shared" si="13"/>
        <v>2564000</v>
      </c>
      <c r="T10" s="347">
        <f t="shared" si="13"/>
        <v>78590</v>
      </c>
      <c r="U10" s="364">
        <f t="shared" si="13"/>
        <v>162607.56</v>
      </c>
      <c r="V10" s="364">
        <f t="shared" si="13"/>
        <v>54382.37</v>
      </c>
      <c r="W10" s="364">
        <f t="shared" si="13"/>
        <v>0</v>
      </c>
      <c r="X10" s="364">
        <f t="shared" si="13"/>
        <v>200751.15</v>
      </c>
      <c r="Y10" s="364">
        <f t="shared" si="13"/>
        <v>0</v>
      </c>
      <c r="Z10" s="364">
        <f t="shared" si="13"/>
        <v>0</v>
      </c>
      <c r="AA10" s="364">
        <f t="shared" si="13"/>
        <v>236507.01</v>
      </c>
      <c r="AB10" s="364">
        <f t="shared" si="13"/>
        <v>38204.06</v>
      </c>
      <c r="AC10" s="422">
        <f t="shared" si="13"/>
        <v>54382.37</v>
      </c>
      <c r="AD10" s="450">
        <f t="shared" si="13"/>
        <v>599865.7200000001</v>
      </c>
      <c r="AE10" s="450">
        <f t="shared" si="13"/>
        <v>92586.43</v>
      </c>
      <c r="AF10" s="451">
        <f t="shared" si="13"/>
        <v>54382.37</v>
      </c>
      <c r="AG10" s="422">
        <f t="shared" si="13"/>
        <v>298350.18</v>
      </c>
      <c r="AH10" s="422">
        <f t="shared" si="13"/>
        <v>65395.24</v>
      </c>
      <c r="AI10" s="422">
        <f t="shared" si="13"/>
        <v>0</v>
      </c>
      <c r="AJ10" s="422">
        <f t="shared" si="13"/>
        <v>306321.42000000004</v>
      </c>
      <c r="AK10" s="422">
        <f t="shared" si="13"/>
        <v>159703.48</v>
      </c>
      <c r="AL10" s="422">
        <f t="shared" si="13"/>
        <v>38204.06</v>
      </c>
      <c r="AM10" s="422">
        <f t="shared" si="13"/>
        <v>361965.48</v>
      </c>
      <c r="AN10" s="422">
        <f t="shared" si="13"/>
        <v>50938.75</v>
      </c>
      <c r="AO10" s="364">
        <f t="shared" si="13"/>
        <v>65395.24</v>
      </c>
      <c r="AP10" s="451">
        <f t="shared" si="13"/>
        <v>966637.0800000001</v>
      </c>
      <c r="AQ10" s="451">
        <f t="shared" si="13"/>
        <v>276037.47</v>
      </c>
      <c r="AR10" s="450">
        <f t="shared" si="13"/>
        <v>103599.29999999999</v>
      </c>
      <c r="AS10" s="422">
        <f t="shared" si="13"/>
        <v>247894.32</v>
      </c>
      <c r="AT10" s="364">
        <f t="shared" si="13"/>
        <v>343145.29</v>
      </c>
      <c r="AU10" s="478">
        <f aca="true" t="shared" si="14" ref="AU10:BP10">AU8+AU9</f>
        <v>159703.48</v>
      </c>
      <c r="AV10" s="422">
        <f t="shared" si="14"/>
        <v>301558.51</v>
      </c>
      <c r="AW10" s="422">
        <f t="shared" si="14"/>
        <v>0</v>
      </c>
      <c r="AX10" s="364">
        <f t="shared" si="14"/>
        <v>50938.75</v>
      </c>
      <c r="AY10" s="422">
        <f t="shared" si="14"/>
        <v>249953.59000000003</v>
      </c>
      <c r="AZ10" s="422">
        <f t="shared" si="14"/>
        <v>54382.37</v>
      </c>
      <c r="BA10" s="364">
        <f t="shared" si="14"/>
        <v>343145.29</v>
      </c>
      <c r="BB10" s="364">
        <f t="shared" si="14"/>
        <v>799406.4199999999</v>
      </c>
      <c r="BC10" s="364">
        <f t="shared" si="14"/>
        <v>397527.66</v>
      </c>
      <c r="BD10" s="364">
        <f t="shared" si="14"/>
        <v>553787.52</v>
      </c>
      <c r="BE10" s="364">
        <f t="shared" si="14"/>
        <v>325471.26</v>
      </c>
      <c r="BF10" s="364">
        <f t="shared" si="14"/>
        <v>212364.05</v>
      </c>
      <c r="BG10" s="364">
        <f t="shared" si="14"/>
        <v>0</v>
      </c>
      <c r="BH10" s="364">
        <f t="shared" si="14"/>
        <v>341679.70999999996</v>
      </c>
      <c r="BI10" s="364">
        <f t="shared" si="14"/>
        <v>218415.52</v>
      </c>
      <c r="BJ10" s="364">
        <f t="shared" si="14"/>
        <v>54382.37</v>
      </c>
      <c r="BK10" s="364">
        <f t="shared" si="14"/>
        <v>0</v>
      </c>
      <c r="BL10" s="364">
        <f t="shared" si="14"/>
        <v>0</v>
      </c>
      <c r="BM10" s="422">
        <f t="shared" si="14"/>
        <v>212364.05</v>
      </c>
      <c r="BN10" s="422">
        <f t="shared" si="14"/>
        <v>667150.97</v>
      </c>
      <c r="BO10" s="422">
        <f t="shared" si="14"/>
        <v>430779.56999999995</v>
      </c>
      <c r="BP10" s="422">
        <f t="shared" si="14"/>
        <v>266746.42</v>
      </c>
      <c r="BQ10" s="422">
        <v>3314972.77</v>
      </c>
      <c r="BR10" s="422">
        <v>1616674.77</v>
      </c>
      <c r="BS10" s="364">
        <v>978524.58</v>
      </c>
      <c r="BT10" s="410">
        <v>97325.23</v>
      </c>
      <c r="BU10" s="364">
        <v>1246.4399999999441</v>
      </c>
      <c r="BV10" s="364">
        <v>730455.56</v>
      </c>
      <c r="BW10" s="403"/>
      <c r="BX10" s="470">
        <v>-75213.99999999994</v>
      </c>
      <c r="BY10" s="470">
        <f>BY8+BY9</f>
        <v>-19981.669999999925</v>
      </c>
      <c r="BZ10" s="529">
        <f t="shared" si="4"/>
        <v>4065410</v>
      </c>
      <c r="CA10" s="133">
        <v>276247.73083333333</v>
      </c>
      <c r="CB10" s="476"/>
      <c r="CC10" s="213">
        <f>CC8+CC9</f>
        <v>345000</v>
      </c>
      <c r="CD10" s="213">
        <f>CD8+CD9</f>
        <v>345000</v>
      </c>
    </row>
    <row r="11" spans="1:82" s="1" customFormat="1" ht="18" customHeight="1">
      <c r="A11" s="716" t="s">
        <v>6</v>
      </c>
      <c r="B11" s="7" t="s">
        <v>4</v>
      </c>
      <c r="C11" s="81">
        <f>6000+17500</f>
        <v>23500</v>
      </c>
      <c r="D11" s="51">
        <v>20243.91</v>
      </c>
      <c r="E11" s="267">
        <v>34358.02</v>
      </c>
      <c r="F11" s="268">
        <v>23242.04</v>
      </c>
      <c r="G11" s="269">
        <v>26251.96</v>
      </c>
      <c r="H11" s="270">
        <v>257.9599999999991</v>
      </c>
      <c r="I11" s="271"/>
      <c r="J11" s="384">
        <v>8468.13</v>
      </c>
      <c r="K11" s="258">
        <v>2863.1683333333335</v>
      </c>
      <c r="L11" s="176"/>
      <c r="M11" s="194"/>
      <c r="N11" s="291"/>
      <c r="O11" s="232">
        <v>4500</v>
      </c>
      <c r="P11" s="242">
        <v>19220</v>
      </c>
      <c r="Q11" s="249">
        <f>O11+R11+S11+T11</f>
        <v>23720</v>
      </c>
      <c r="R11" s="242">
        <v>6600</v>
      </c>
      <c r="S11" s="242">
        <v>12620</v>
      </c>
      <c r="T11" s="242">
        <v>0</v>
      </c>
      <c r="U11" s="311">
        <v>2818.54</v>
      </c>
      <c r="V11" s="312"/>
      <c r="W11" s="313">
        <v>3494.03</v>
      </c>
      <c r="X11" s="311">
        <v>1428.82</v>
      </c>
      <c r="Y11" s="312"/>
      <c r="Z11" s="313"/>
      <c r="AA11" s="311">
        <v>1259.76</v>
      </c>
      <c r="AB11" s="312">
        <v>2740.88</v>
      </c>
      <c r="AC11" s="313"/>
      <c r="AD11" s="104">
        <f aca="true" t="shared" si="15" ref="AD11:AF12">U11+X11+AA11</f>
        <v>5507.12</v>
      </c>
      <c r="AE11" s="105">
        <f t="shared" si="15"/>
        <v>2740.88</v>
      </c>
      <c r="AF11" s="449">
        <f t="shared" si="15"/>
        <v>3494.03</v>
      </c>
      <c r="AG11" s="311">
        <v>1764.83</v>
      </c>
      <c r="AH11" s="312"/>
      <c r="AI11" s="313"/>
      <c r="AJ11" s="311">
        <v>1067.32</v>
      </c>
      <c r="AK11" s="312"/>
      <c r="AL11" s="314">
        <v>2740.88</v>
      </c>
      <c r="AM11" s="311">
        <v>1716.39</v>
      </c>
      <c r="AN11" s="312">
        <v>5968.63</v>
      </c>
      <c r="AO11" s="314"/>
      <c r="AP11" s="267">
        <f aca="true" t="shared" si="16" ref="AP11:AR12">AG11+AJ11+AM11</f>
        <v>4548.54</v>
      </c>
      <c r="AQ11" s="268">
        <f t="shared" si="16"/>
        <v>5968.63</v>
      </c>
      <c r="AR11" s="482">
        <f t="shared" si="16"/>
        <v>2740.88</v>
      </c>
      <c r="AS11" s="311">
        <v>3928.98</v>
      </c>
      <c r="AT11" s="314"/>
      <c r="AU11" s="356"/>
      <c r="AV11" s="311">
        <v>1422</v>
      </c>
      <c r="AW11" s="312">
        <v>5988.38</v>
      </c>
      <c r="AX11" s="314">
        <v>5968.63</v>
      </c>
      <c r="AY11" s="311">
        <v>3376.38</v>
      </c>
      <c r="AZ11" s="312"/>
      <c r="BA11" s="314"/>
      <c r="BB11" s="267">
        <f aca="true" t="shared" si="17" ref="BB11:BD12">AS11+AV11+AY11</f>
        <v>8727.36</v>
      </c>
      <c r="BC11" s="268">
        <f t="shared" si="17"/>
        <v>5988.38</v>
      </c>
      <c r="BD11" s="462">
        <f t="shared" si="17"/>
        <v>5968.63</v>
      </c>
      <c r="BE11" s="311">
        <v>3939.38</v>
      </c>
      <c r="BF11" s="312">
        <v>5436.55</v>
      </c>
      <c r="BG11" s="314">
        <v>5988.38</v>
      </c>
      <c r="BH11" s="311">
        <v>3084.45</v>
      </c>
      <c r="BI11" s="312"/>
      <c r="BJ11" s="314"/>
      <c r="BK11" s="311"/>
      <c r="BL11" s="312"/>
      <c r="BM11" s="313"/>
      <c r="BN11" s="311">
        <f aca="true" t="shared" si="18" ref="BN11:BP12">BE11+BH11+BK11</f>
        <v>7023.83</v>
      </c>
      <c r="BO11" s="312">
        <f t="shared" si="18"/>
        <v>5436.55</v>
      </c>
      <c r="BP11" s="313">
        <f t="shared" si="18"/>
        <v>5988.38</v>
      </c>
      <c r="BQ11" s="360">
        <v>27021.08</v>
      </c>
      <c r="BR11" s="361">
        <v>23602.56</v>
      </c>
      <c r="BS11" s="419">
        <v>18191.92</v>
      </c>
      <c r="BT11" s="485">
        <v>117.44000000000233</v>
      </c>
      <c r="BU11" s="356"/>
      <c r="BV11" s="32">
        <v>5049.609999999993</v>
      </c>
      <c r="BW11" s="403"/>
      <c r="BX11" s="469">
        <v>-1759.12</v>
      </c>
      <c r="BY11" s="489">
        <f>BR11-BZ11</f>
        <v>-117.43999999999869</v>
      </c>
      <c r="BZ11" s="529">
        <f t="shared" si="4"/>
        <v>23720</v>
      </c>
      <c r="CA11" s="133">
        <v>2251.7566666666667</v>
      </c>
      <c r="CB11" s="476">
        <v>0</v>
      </c>
      <c r="CC11" s="209">
        <v>2000</v>
      </c>
      <c r="CD11" s="209">
        <v>2000</v>
      </c>
    </row>
    <row r="12" spans="1:82" s="1" customFormat="1" ht="18" customHeight="1" thickBot="1">
      <c r="A12" s="717"/>
      <c r="B12" s="22" t="s">
        <v>5</v>
      </c>
      <c r="C12" s="85">
        <f>2694650+6756950+537830+1774580+1865280+1000000</f>
        <v>14629290</v>
      </c>
      <c r="D12" s="52"/>
      <c r="E12" s="104">
        <v>14694891.51</v>
      </c>
      <c r="F12" s="105">
        <v>0</v>
      </c>
      <c r="G12" s="146">
        <v>0</v>
      </c>
      <c r="H12" s="137"/>
      <c r="I12" s="98">
        <v>-65601.50999999978</v>
      </c>
      <c r="J12" s="389"/>
      <c r="K12" s="133">
        <v>1224574.2925</v>
      </c>
      <c r="L12" s="177">
        <v>88070</v>
      </c>
      <c r="M12" s="193"/>
      <c r="N12" s="291"/>
      <c r="O12" s="233">
        <f>3621090+424410</f>
        <v>4045500</v>
      </c>
      <c r="P12" s="243">
        <f>5963000-424410</f>
        <v>5538590</v>
      </c>
      <c r="Q12" s="250">
        <f>O12+R12+S12+T12</f>
        <v>22287600</v>
      </c>
      <c r="R12" s="243">
        <f>4043400+1200000</f>
        <v>5243400</v>
      </c>
      <c r="S12" s="243">
        <f>295190+5010000+385420</f>
        <v>5690610</v>
      </c>
      <c r="T12" s="243">
        <f>1650000+1755330+245750+1097010+2560000</f>
        <v>7308090</v>
      </c>
      <c r="U12" s="311">
        <v>1653934.51</v>
      </c>
      <c r="V12" s="312"/>
      <c r="W12" s="313"/>
      <c r="X12" s="311">
        <v>1528790.96</v>
      </c>
      <c r="Y12" s="312"/>
      <c r="Z12" s="313"/>
      <c r="AA12" s="311">
        <v>1579529.4</v>
      </c>
      <c r="AB12" s="312"/>
      <c r="AC12" s="313"/>
      <c r="AD12" s="104">
        <f t="shared" si="15"/>
        <v>4762254.869999999</v>
      </c>
      <c r="AE12" s="105">
        <f t="shared" si="15"/>
        <v>0</v>
      </c>
      <c r="AF12" s="449">
        <f t="shared" si="15"/>
        <v>0</v>
      </c>
      <c r="AG12" s="311">
        <v>1753408.26</v>
      </c>
      <c r="AH12" s="312"/>
      <c r="AI12" s="313"/>
      <c r="AJ12" s="311">
        <v>1833817.77</v>
      </c>
      <c r="AK12" s="312"/>
      <c r="AL12" s="314"/>
      <c r="AM12" s="311">
        <v>1807409.52</v>
      </c>
      <c r="AN12" s="312"/>
      <c r="AO12" s="314"/>
      <c r="AP12" s="267">
        <f t="shared" si="16"/>
        <v>5394635.550000001</v>
      </c>
      <c r="AQ12" s="268">
        <f t="shared" si="16"/>
        <v>0</v>
      </c>
      <c r="AR12" s="482">
        <f t="shared" si="16"/>
        <v>0</v>
      </c>
      <c r="AS12" s="311">
        <v>1962631.06</v>
      </c>
      <c r="AT12" s="314"/>
      <c r="AU12" s="356"/>
      <c r="AV12" s="311">
        <v>1907736.58</v>
      </c>
      <c r="AW12" s="312"/>
      <c r="AX12" s="314"/>
      <c r="AY12" s="311">
        <v>1934810.24</v>
      </c>
      <c r="AZ12" s="312"/>
      <c r="BA12" s="314"/>
      <c r="BB12" s="267">
        <f t="shared" si="17"/>
        <v>5805177.88</v>
      </c>
      <c r="BC12" s="268">
        <f t="shared" si="17"/>
        <v>0</v>
      </c>
      <c r="BD12" s="462">
        <f t="shared" si="17"/>
        <v>0</v>
      </c>
      <c r="BE12" s="311">
        <v>2072348.09</v>
      </c>
      <c r="BF12" s="312"/>
      <c r="BG12" s="314"/>
      <c r="BH12" s="311">
        <v>2152367.78</v>
      </c>
      <c r="BI12" s="312"/>
      <c r="BJ12" s="314"/>
      <c r="BK12" s="311"/>
      <c r="BL12" s="312"/>
      <c r="BM12" s="313"/>
      <c r="BN12" s="311">
        <f t="shared" si="18"/>
        <v>4224715.87</v>
      </c>
      <c r="BO12" s="312">
        <f t="shared" si="18"/>
        <v>0</v>
      </c>
      <c r="BP12" s="313">
        <f t="shared" si="18"/>
        <v>0</v>
      </c>
      <c r="BQ12" s="360">
        <v>22317389.700000003</v>
      </c>
      <c r="BR12" s="361">
        <v>0</v>
      </c>
      <c r="BS12" s="419">
        <v>0</v>
      </c>
      <c r="BT12" s="485"/>
      <c r="BU12" s="356">
        <v>-29789.70000000298</v>
      </c>
      <c r="BV12" s="32"/>
      <c r="BW12" s="403"/>
      <c r="BX12" s="469">
        <v>716754.8699999992</v>
      </c>
      <c r="BY12" s="489">
        <f>BQ12-BZ12</f>
        <v>7337879.700000003</v>
      </c>
      <c r="BZ12" s="529">
        <f t="shared" si="4"/>
        <v>14979510</v>
      </c>
      <c r="CA12" s="133">
        <v>1859782.4750000003</v>
      </c>
      <c r="CB12" s="476">
        <v>2300000</v>
      </c>
      <c r="CC12" s="210">
        <v>1858000</v>
      </c>
      <c r="CD12" s="210">
        <v>1857000</v>
      </c>
    </row>
    <row r="13" spans="1:82" s="1" customFormat="1" ht="22.5" customHeight="1" thickBot="1">
      <c r="A13" s="3" t="s">
        <v>8</v>
      </c>
      <c r="B13" s="5" t="s">
        <v>9</v>
      </c>
      <c r="C13" s="84">
        <f>C11+C12</f>
        <v>14652790</v>
      </c>
      <c r="D13" s="33"/>
      <c r="E13" s="70">
        <v>14729249.53</v>
      </c>
      <c r="F13" s="70">
        <v>23242.04</v>
      </c>
      <c r="G13" s="148">
        <v>26251.96</v>
      </c>
      <c r="H13" s="62">
        <v>257.9599999999991</v>
      </c>
      <c r="I13" s="65">
        <v>-65601.50999999978</v>
      </c>
      <c r="J13" s="390"/>
      <c r="K13" s="133">
        <v>1227437.4608333332</v>
      </c>
      <c r="L13" s="175">
        <v>88070</v>
      </c>
      <c r="M13" s="195">
        <v>153413.54999999888</v>
      </c>
      <c r="N13" s="292">
        <v>153413.55</v>
      </c>
      <c r="O13" s="231">
        <f>O11+O12</f>
        <v>4050000</v>
      </c>
      <c r="P13" s="231">
        <f>P11+P12</f>
        <v>5557810</v>
      </c>
      <c r="Q13" s="378">
        <f>O13+R13+S13+T13</f>
        <v>22311320</v>
      </c>
      <c r="R13" s="348">
        <f aca="true" t="shared" si="19" ref="R13:AW13">R11+R12</f>
        <v>5250000</v>
      </c>
      <c r="S13" s="348">
        <f t="shared" si="19"/>
        <v>5703230</v>
      </c>
      <c r="T13" s="348">
        <f t="shared" si="19"/>
        <v>7308090</v>
      </c>
      <c r="U13" s="365">
        <f t="shared" si="19"/>
        <v>1656753.05</v>
      </c>
      <c r="V13" s="365">
        <f t="shared" si="19"/>
        <v>0</v>
      </c>
      <c r="W13" s="365">
        <f t="shared" si="19"/>
        <v>3494.03</v>
      </c>
      <c r="X13" s="365">
        <f t="shared" si="19"/>
        <v>1530219.78</v>
      </c>
      <c r="Y13" s="365">
        <f t="shared" si="19"/>
        <v>0</v>
      </c>
      <c r="Z13" s="365">
        <f t="shared" si="19"/>
        <v>0</v>
      </c>
      <c r="AA13" s="365">
        <f t="shared" si="19"/>
        <v>1580789.16</v>
      </c>
      <c r="AB13" s="365">
        <f t="shared" si="19"/>
        <v>2740.88</v>
      </c>
      <c r="AC13" s="423">
        <f t="shared" si="19"/>
        <v>0</v>
      </c>
      <c r="AD13" s="421">
        <f t="shared" si="19"/>
        <v>4767761.989999999</v>
      </c>
      <c r="AE13" s="421">
        <f t="shared" si="19"/>
        <v>2740.88</v>
      </c>
      <c r="AF13" s="452">
        <f t="shared" si="19"/>
        <v>3494.03</v>
      </c>
      <c r="AG13" s="423">
        <f t="shared" si="19"/>
        <v>1755173.09</v>
      </c>
      <c r="AH13" s="423">
        <f t="shared" si="19"/>
        <v>0</v>
      </c>
      <c r="AI13" s="423">
        <f t="shared" si="19"/>
        <v>0</v>
      </c>
      <c r="AJ13" s="423">
        <f t="shared" si="19"/>
        <v>1834885.09</v>
      </c>
      <c r="AK13" s="423">
        <f t="shared" si="19"/>
        <v>0</v>
      </c>
      <c r="AL13" s="423">
        <f t="shared" si="19"/>
        <v>2740.88</v>
      </c>
      <c r="AM13" s="423">
        <f t="shared" si="19"/>
        <v>1809125.91</v>
      </c>
      <c r="AN13" s="423">
        <f t="shared" si="19"/>
        <v>5968.63</v>
      </c>
      <c r="AO13" s="365">
        <f t="shared" si="19"/>
        <v>0</v>
      </c>
      <c r="AP13" s="452">
        <f t="shared" si="19"/>
        <v>5399184.090000001</v>
      </c>
      <c r="AQ13" s="452">
        <f t="shared" si="19"/>
        <v>5968.63</v>
      </c>
      <c r="AR13" s="421">
        <f t="shared" si="19"/>
        <v>2740.88</v>
      </c>
      <c r="AS13" s="423">
        <f t="shared" si="19"/>
        <v>1966560.04</v>
      </c>
      <c r="AT13" s="365">
        <f t="shared" si="19"/>
        <v>0</v>
      </c>
      <c r="AU13" s="479">
        <f t="shared" si="19"/>
        <v>0</v>
      </c>
      <c r="AV13" s="423">
        <f t="shared" si="19"/>
        <v>1909158.58</v>
      </c>
      <c r="AW13" s="423">
        <f t="shared" si="19"/>
        <v>5988.38</v>
      </c>
      <c r="AX13" s="365">
        <f aca="true" t="shared" si="20" ref="AX13:BP13">AX11+AX12</f>
        <v>5968.63</v>
      </c>
      <c r="AY13" s="423">
        <f t="shared" si="20"/>
        <v>1938186.6199999999</v>
      </c>
      <c r="AZ13" s="423">
        <f t="shared" si="20"/>
        <v>0</v>
      </c>
      <c r="BA13" s="365">
        <f t="shared" si="20"/>
        <v>0</v>
      </c>
      <c r="BB13" s="365">
        <f t="shared" si="20"/>
        <v>5813905.24</v>
      </c>
      <c r="BC13" s="365">
        <f t="shared" si="20"/>
        <v>5988.38</v>
      </c>
      <c r="BD13" s="365">
        <f t="shared" si="20"/>
        <v>5968.63</v>
      </c>
      <c r="BE13" s="365">
        <f t="shared" si="20"/>
        <v>2076287.47</v>
      </c>
      <c r="BF13" s="365">
        <f t="shared" si="20"/>
        <v>5436.55</v>
      </c>
      <c r="BG13" s="365">
        <f t="shared" si="20"/>
        <v>5988.38</v>
      </c>
      <c r="BH13" s="365">
        <f t="shared" si="20"/>
        <v>2155452.23</v>
      </c>
      <c r="BI13" s="365">
        <f t="shared" si="20"/>
        <v>0</v>
      </c>
      <c r="BJ13" s="365">
        <f t="shared" si="20"/>
        <v>0</v>
      </c>
      <c r="BK13" s="365">
        <f t="shared" si="20"/>
        <v>0</v>
      </c>
      <c r="BL13" s="365">
        <f t="shared" si="20"/>
        <v>0</v>
      </c>
      <c r="BM13" s="423">
        <f t="shared" si="20"/>
        <v>0</v>
      </c>
      <c r="BN13" s="423">
        <f t="shared" si="20"/>
        <v>4231739.7</v>
      </c>
      <c r="BO13" s="423">
        <f t="shared" si="20"/>
        <v>5436.55</v>
      </c>
      <c r="BP13" s="423">
        <f t="shared" si="20"/>
        <v>5988.38</v>
      </c>
      <c r="BQ13" s="423">
        <v>22344410.78</v>
      </c>
      <c r="BR13" s="423">
        <v>23602.56</v>
      </c>
      <c r="BS13" s="365">
        <v>18191.92</v>
      </c>
      <c r="BT13" s="411">
        <v>117.44000000000233</v>
      </c>
      <c r="BU13" s="365">
        <v>-29789.70000000298</v>
      </c>
      <c r="BV13" s="365">
        <v>5049.609999999993</v>
      </c>
      <c r="BW13" s="404">
        <v>153413.55</v>
      </c>
      <c r="BX13" s="471">
        <f>BX12+BX11</f>
        <v>714995.7499999992</v>
      </c>
      <c r="BY13" s="471">
        <f>BY11+BY12+BW13</f>
        <v>7491175.810000002</v>
      </c>
      <c r="BZ13" s="529">
        <f t="shared" si="4"/>
        <v>15003230</v>
      </c>
      <c r="CA13" s="133">
        <v>1862034.2316666667</v>
      </c>
      <c r="CB13" s="542">
        <f>BW13+CB12</f>
        <v>2453413.55</v>
      </c>
      <c r="CC13" s="208">
        <f>CC11+CC12</f>
        <v>1860000</v>
      </c>
      <c r="CD13" s="208">
        <f>CD11+CD12</f>
        <v>1859000</v>
      </c>
    </row>
    <row r="14" spans="1:82" s="1" customFormat="1" ht="16.5" customHeight="1">
      <c r="A14" s="718" t="s">
        <v>6</v>
      </c>
      <c r="B14" s="7" t="s">
        <v>22</v>
      </c>
      <c r="C14" s="81">
        <v>0</v>
      </c>
      <c r="D14" s="53">
        <v>0</v>
      </c>
      <c r="E14" s="104">
        <v>0</v>
      </c>
      <c r="F14" s="105">
        <v>0</v>
      </c>
      <c r="G14" s="146">
        <v>0</v>
      </c>
      <c r="H14" s="137">
        <v>0</v>
      </c>
      <c r="I14" s="98"/>
      <c r="J14" s="389">
        <v>0</v>
      </c>
      <c r="K14" s="133">
        <v>0</v>
      </c>
      <c r="L14" s="178"/>
      <c r="M14" s="194"/>
      <c r="N14" s="291"/>
      <c r="O14" s="232"/>
      <c r="P14" s="242"/>
      <c r="Q14" s="249">
        <f>O14+P14</f>
        <v>0</v>
      </c>
      <c r="R14" s="242"/>
      <c r="S14" s="242"/>
      <c r="T14" s="242"/>
      <c r="U14" s="311"/>
      <c r="V14" s="312"/>
      <c r="W14" s="313"/>
      <c r="X14" s="311"/>
      <c r="Y14" s="312"/>
      <c r="Z14" s="313"/>
      <c r="AA14" s="311"/>
      <c r="AB14" s="312"/>
      <c r="AC14" s="313"/>
      <c r="AD14" s="104">
        <f aca="true" t="shared" si="21" ref="AD14:AF16">U14+X14+AA14</f>
        <v>0</v>
      </c>
      <c r="AE14" s="105">
        <f t="shared" si="21"/>
        <v>0</v>
      </c>
      <c r="AF14" s="449">
        <f t="shared" si="21"/>
        <v>0</v>
      </c>
      <c r="AG14" s="311"/>
      <c r="AH14" s="312"/>
      <c r="AI14" s="313"/>
      <c r="AJ14" s="311"/>
      <c r="AK14" s="312"/>
      <c r="AL14" s="314"/>
      <c r="AM14" s="311"/>
      <c r="AN14" s="312"/>
      <c r="AO14" s="314"/>
      <c r="AP14" s="267">
        <f aca="true" t="shared" si="22" ref="AP14:AR16">AG14+AJ14+AM14</f>
        <v>0</v>
      </c>
      <c r="AQ14" s="268">
        <f t="shared" si="22"/>
        <v>0</v>
      </c>
      <c r="AR14" s="482">
        <f t="shared" si="22"/>
        <v>0</v>
      </c>
      <c r="AS14" s="311"/>
      <c r="AT14" s="314"/>
      <c r="AU14" s="356"/>
      <c r="AV14" s="311"/>
      <c r="AW14" s="312"/>
      <c r="AX14" s="314"/>
      <c r="AY14" s="311"/>
      <c r="AZ14" s="312"/>
      <c r="BA14" s="314"/>
      <c r="BB14" s="267">
        <f aca="true" t="shared" si="23" ref="BB14:BD16">AS14+AV14+AY14</f>
        <v>0</v>
      </c>
      <c r="BC14" s="268">
        <f t="shared" si="23"/>
        <v>0</v>
      </c>
      <c r="BD14" s="462">
        <f t="shared" si="23"/>
        <v>0</v>
      </c>
      <c r="BE14" s="311"/>
      <c r="BF14" s="312"/>
      <c r="BG14" s="314"/>
      <c r="BH14" s="311"/>
      <c r="BI14" s="312"/>
      <c r="BJ14" s="314"/>
      <c r="BK14" s="311"/>
      <c r="BL14" s="312"/>
      <c r="BM14" s="313"/>
      <c r="BN14" s="311">
        <f aca="true" t="shared" si="24" ref="BN14:BP16">BE14+BH14+BK14</f>
        <v>0</v>
      </c>
      <c r="BO14" s="312">
        <f t="shared" si="24"/>
        <v>0</v>
      </c>
      <c r="BP14" s="313">
        <f t="shared" si="24"/>
        <v>0</v>
      </c>
      <c r="BQ14" s="360">
        <v>0</v>
      </c>
      <c r="BR14" s="361">
        <v>0</v>
      </c>
      <c r="BS14" s="419">
        <v>0</v>
      </c>
      <c r="BT14" s="485">
        <v>0</v>
      </c>
      <c r="BU14" s="356"/>
      <c r="BV14" s="32">
        <v>0</v>
      </c>
      <c r="BW14" s="403"/>
      <c r="BX14" s="472"/>
      <c r="BY14" s="490"/>
      <c r="BZ14" s="529">
        <f t="shared" si="4"/>
        <v>0</v>
      </c>
      <c r="CA14" s="133">
        <v>0</v>
      </c>
      <c r="CB14" s="476"/>
      <c r="CC14" s="209"/>
      <c r="CD14" s="209"/>
    </row>
    <row r="15" spans="1:82" s="1" customFormat="1" ht="19.5" customHeight="1">
      <c r="A15" s="718"/>
      <c r="B15" s="7" t="s">
        <v>28</v>
      </c>
      <c r="C15" s="81">
        <f>63250+4610+3420</f>
        <v>71280</v>
      </c>
      <c r="D15" s="53"/>
      <c r="E15" s="104">
        <v>66900</v>
      </c>
      <c r="F15" s="105">
        <v>0</v>
      </c>
      <c r="G15" s="146">
        <v>0</v>
      </c>
      <c r="H15" s="137"/>
      <c r="I15" s="98">
        <v>4380</v>
      </c>
      <c r="J15" s="389"/>
      <c r="K15" s="133">
        <v>5575</v>
      </c>
      <c r="L15" s="178"/>
      <c r="M15" s="171"/>
      <c r="N15" s="291"/>
      <c r="O15" s="229">
        <v>17690</v>
      </c>
      <c r="P15" s="240">
        <v>53050</v>
      </c>
      <c r="Q15" s="247">
        <f>O15+R15+S15+T15</f>
        <v>72240</v>
      </c>
      <c r="R15" s="240">
        <v>17500</v>
      </c>
      <c r="S15" s="240">
        <f>17500+1020</f>
        <v>18520</v>
      </c>
      <c r="T15" s="240">
        <f>18050+480</f>
        <v>18530</v>
      </c>
      <c r="U15" s="311">
        <v>9060</v>
      </c>
      <c r="V15" s="312"/>
      <c r="W15" s="313"/>
      <c r="X15" s="311">
        <v>3660</v>
      </c>
      <c r="Y15" s="312"/>
      <c r="Z15" s="313"/>
      <c r="AA15" s="311">
        <v>5220</v>
      </c>
      <c r="AB15" s="312"/>
      <c r="AC15" s="313"/>
      <c r="AD15" s="104">
        <f t="shared" si="21"/>
        <v>17940</v>
      </c>
      <c r="AE15" s="105">
        <f t="shared" si="21"/>
        <v>0</v>
      </c>
      <c r="AF15" s="449">
        <f t="shared" si="21"/>
        <v>0</v>
      </c>
      <c r="AG15" s="311">
        <v>6600</v>
      </c>
      <c r="AH15" s="312"/>
      <c r="AI15" s="313"/>
      <c r="AJ15" s="311">
        <v>5160</v>
      </c>
      <c r="AK15" s="312"/>
      <c r="AL15" s="314"/>
      <c r="AM15" s="311">
        <v>6180</v>
      </c>
      <c r="AN15" s="312"/>
      <c r="AO15" s="314"/>
      <c r="AP15" s="267">
        <f t="shared" si="22"/>
        <v>17940</v>
      </c>
      <c r="AQ15" s="268">
        <f t="shared" si="22"/>
        <v>0</v>
      </c>
      <c r="AR15" s="482">
        <f t="shared" si="22"/>
        <v>0</v>
      </c>
      <c r="AS15" s="311">
        <v>5820</v>
      </c>
      <c r="AT15" s="314"/>
      <c r="AU15" s="356"/>
      <c r="AV15" s="311">
        <v>6360</v>
      </c>
      <c r="AW15" s="312"/>
      <c r="AX15" s="314"/>
      <c r="AY15" s="311">
        <v>6180</v>
      </c>
      <c r="AZ15" s="312"/>
      <c r="BA15" s="314"/>
      <c r="BB15" s="267">
        <f t="shared" si="23"/>
        <v>18360</v>
      </c>
      <c r="BC15" s="268">
        <f t="shared" si="23"/>
        <v>0</v>
      </c>
      <c r="BD15" s="462">
        <f t="shared" si="23"/>
        <v>0</v>
      </c>
      <c r="BE15" s="311">
        <v>4440</v>
      </c>
      <c r="BF15" s="312"/>
      <c r="BG15" s="314"/>
      <c r="BH15" s="311">
        <v>6660</v>
      </c>
      <c r="BI15" s="312"/>
      <c r="BJ15" s="314"/>
      <c r="BK15" s="311"/>
      <c r="BL15" s="312"/>
      <c r="BM15" s="313"/>
      <c r="BN15" s="311">
        <f t="shared" si="24"/>
        <v>11100</v>
      </c>
      <c r="BO15" s="312">
        <f t="shared" si="24"/>
        <v>0</v>
      </c>
      <c r="BP15" s="313">
        <f t="shared" si="24"/>
        <v>0</v>
      </c>
      <c r="BQ15" s="360">
        <v>72840</v>
      </c>
      <c r="BR15" s="361">
        <v>0</v>
      </c>
      <c r="BS15" s="419">
        <v>0</v>
      </c>
      <c r="BT15" s="485"/>
      <c r="BU15" s="356">
        <v>-600</v>
      </c>
      <c r="BV15" s="32"/>
      <c r="BW15" s="403"/>
      <c r="BX15" s="469">
        <v>250</v>
      </c>
      <c r="BY15" s="489">
        <f>BQ15-BZ15</f>
        <v>19130</v>
      </c>
      <c r="BZ15" s="529">
        <f t="shared" si="4"/>
        <v>53710</v>
      </c>
      <c r="CA15" s="133">
        <v>6070</v>
      </c>
      <c r="CB15" s="476"/>
      <c r="CC15" s="206">
        <v>7000</v>
      </c>
      <c r="CD15" s="206">
        <v>6000</v>
      </c>
    </row>
    <row r="16" spans="1:82" s="1" customFormat="1" ht="20.25" customHeight="1" thickBot="1">
      <c r="A16" s="718"/>
      <c r="B16" s="22" t="s">
        <v>29</v>
      </c>
      <c r="C16" s="83">
        <f>1134890+13860+27700+20000</f>
        <v>1196450</v>
      </c>
      <c r="D16" s="54"/>
      <c r="E16" s="104">
        <v>1180421.67</v>
      </c>
      <c r="F16" s="105">
        <v>0</v>
      </c>
      <c r="G16" s="146">
        <v>0</v>
      </c>
      <c r="H16" s="137"/>
      <c r="I16" s="98">
        <v>16028.330000000075</v>
      </c>
      <c r="J16" s="389"/>
      <c r="K16" s="133">
        <v>98368.47249999999</v>
      </c>
      <c r="L16" s="179"/>
      <c r="M16" s="171"/>
      <c r="N16" s="291"/>
      <c r="O16" s="233">
        <v>299120</v>
      </c>
      <c r="P16" s="243">
        <v>897350</v>
      </c>
      <c r="Q16" s="247">
        <f>O16+R16+S16+T16</f>
        <v>1307810</v>
      </c>
      <c r="R16" s="243">
        <v>320000</v>
      </c>
      <c r="S16" s="243">
        <f>300000+104340</f>
        <v>404340</v>
      </c>
      <c r="T16" s="243">
        <f>277350+7000</f>
        <v>284350</v>
      </c>
      <c r="U16" s="311">
        <v>116160</v>
      </c>
      <c r="V16" s="312"/>
      <c r="W16" s="313"/>
      <c r="X16" s="311">
        <v>113736</v>
      </c>
      <c r="Y16" s="312"/>
      <c r="Z16" s="313"/>
      <c r="AA16" s="311">
        <v>94947.88</v>
      </c>
      <c r="AB16" s="312"/>
      <c r="AC16" s="313"/>
      <c r="AD16" s="104">
        <f t="shared" si="21"/>
        <v>324843.88</v>
      </c>
      <c r="AE16" s="105">
        <f t="shared" si="21"/>
        <v>0</v>
      </c>
      <c r="AF16" s="449">
        <f t="shared" si="21"/>
        <v>0</v>
      </c>
      <c r="AG16" s="311">
        <v>103920</v>
      </c>
      <c r="AH16" s="312"/>
      <c r="AI16" s="313"/>
      <c r="AJ16" s="311">
        <v>123840</v>
      </c>
      <c r="AK16" s="312"/>
      <c r="AL16" s="314"/>
      <c r="AM16" s="311">
        <v>97800</v>
      </c>
      <c r="AN16" s="312"/>
      <c r="AO16" s="314"/>
      <c r="AP16" s="267">
        <f t="shared" si="22"/>
        <v>325560</v>
      </c>
      <c r="AQ16" s="268">
        <f t="shared" si="22"/>
        <v>0</v>
      </c>
      <c r="AR16" s="482">
        <f t="shared" si="22"/>
        <v>0</v>
      </c>
      <c r="AS16" s="311">
        <v>109299</v>
      </c>
      <c r="AT16" s="314"/>
      <c r="AU16" s="356"/>
      <c r="AV16" s="311">
        <v>112785</v>
      </c>
      <c r="AW16" s="312"/>
      <c r="AX16" s="314"/>
      <c r="AY16" s="311">
        <v>100761</v>
      </c>
      <c r="AZ16" s="312"/>
      <c r="BA16" s="314"/>
      <c r="BB16" s="267">
        <f t="shared" si="23"/>
        <v>322845</v>
      </c>
      <c r="BC16" s="268">
        <f t="shared" si="23"/>
        <v>0</v>
      </c>
      <c r="BD16" s="462">
        <f t="shared" si="23"/>
        <v>0</v>
      </c>
      <c r="BE16" s="311">
        <v>114019.2</v>
      </c>
      <c r="BF16" s="312"/>
      <c r="BG16" s="314"/>
      <c r="BH16" s="311">
        <v>120231</v>
      </c>
      <c r="BI16" s="312"/>
      <c r="BJ16" s="314"/>
      <c r="BK16" s="311"/>
      <c r="BL16" s="312"/>
      <c r="BM16" s="313"/>
      <c r="BN16" s="311">
        <f t="shared" si="24"/>
        <v>234250.2</v>
      </c>
      <c r="BO16" s="312">
        <f t="shared" si="24"/>
        <v>0</v>
      </c>
      <c r="BP16" s="313">
        <f t="shared" si="24"/>
        <v>0</v>
      </c>
      <c r="BQ16" s="360">
        <v>1321724.08</v>
      </c>
      <c r="BR16" s="361">
        <v>0</v>
      </c>
      <c r="BS16" s="419">
        <v>0</v>
      </c>
      <c r="BT16" s="485"/>
      <c r="BU16" s="356">
        <v>-13914.080000000075</v>
      </c>
      <c r="BV16" s="32"/>
      <c r="BW16" s="403"/>
      <c r="BX16" s="469">
        <v>25723.88</v>
      </c>
      <c r="BY16" s="489">
        <f>BQ16-BZ16</f>
        <v>298264.0800000001</v>
      </c>
      <c r="BZ16" s="529">
        <f t="shared" si="4"/>
        <v>1023460</v>
      </c>
      <c r="CA16" s="133">
        <v>110143.67333333334</v>
      </c>
      <c r="CB16" s="476"/>
      <c r="CC16" s="210">
        <v>109000</v>
      </c>
      <c r="CD16" s="210">
        <v>109000</v>
      </c>
    </row>
    <row r="17" spans="1:82" s="1" customFormat="1" ht="20.25" customHeight="1" thickBot="1">
      <c r="A17" s="3" t="s">
        <v>8</v>
      </c>
      <c r="B17" s="5" t="s">
        <v>11</v>
      </c>
      <c r="C17" s="84">
        <f>C15+C16</f>
        <v>1267730</v>
      </c>
      <c r="D17" s="33"/>
      <c r="E17" s="70">
        <v>1247321.67</v>
      </c>
      <c r="F17" s="70">
        <v>0</v>
      </c>
      <c r="G17" s="148">
        <v>0</v>
      </c>
      <c r="H17" s="62">
        <v>0</v>
      </c>
      <c r="I17" s="65">
        <v>20408.330000000075</v>
      </c>
      <c r="J17" s="390">
        <v>0</v>
      </c>
      <c r="K17" s="133">
        <v>103943.47249999999</v>
      </c>
      <c r="L17" s="180"/>
      <c r="M17" s="171"/>
      <c r="N17" s="291"/>
      <c r="O17" s="231">
        <f aca="true" t="shared" si="25" ref="O17:AT17">O15+O16</f>
        <v>316810</v>
      </c>
      <c r="P17" s="231">
        <f t="shared" si="25"/>
        <v>950400</v>
      </c>
      <c r="Q17" s="377">
        <f t="shared" si="25"/>
        <v>1380050</v>
      </c>
      <c r="R17" s="365">
        <f t="shared" si="25"/>
        <v>337500</v>
      </c>
      <c r="S17" s="365">
        <f t="shared" si="25"/>
        <v>422860</v>
      </c>
      <c r="T17" s="534">
        <f t="shared" si="25"/>
        <v>302880</v>
      </c>
      <c r="U17" s="365">
        <f t="shared" si="25"/>
        <v>125220</v>
      </c>
      <c r="V17" s="365">
        <f t="shared" si="25"/>
        <v>0</v>
      </c>
      <c r="W17" s="365">
        <f t="shared" si="25"/>
        <v>0</v>
      </c>
      <c r="X17" s="365">
        <f t="shared" si="25"/>
        <v>117396</v>
      </c>
      <c r="Y17" s="365">
        <f t="shared" si="25"/>
        <v>0</v>
      </c>
      <c r="Z17" s="365">
        <f t="shared" si="25"/>
        <v>0</v>
      </c>
      <c r="AA17" s="365">
        <f t="shared" si="25"/>
        <v>100167.88</v>
      </c>
      <c r="AB17" s="365">
        <f t="shared" si="25"/>
        <v>0</v>
      </c>
      <c r="AC17" s="423">
        <f t="shared" si="25"/>
        <v>0</v>
      </c>
      <c r="AD17" s="421">
        <f t="shared" si="25"/>
        <v>342783.88</v>
      </c>
      <c r="AE17" s="421">
        <f t="shared" si="25"/>
        <v>0</v>
      </c>
      <c r="AF17" s="452">
        <f t="shared" si="25"/>
        <v>0</v>
      </c>
      <c r="AG17" s="423">
        <f t="shared" si="25"/>
        <v>110520</v>
      </c>
      <c r="AH17" s="423">
        <f t="shared" si="25"/>
        <v>0</v>
      </c>
      <c r="AI17" s="423">
        <f t="shared" si="25"/>
        <v>0</v>
      </c>
      <c r="AJ17" s="423">
        <f t="shared" si="25"/>
        <v>129000</v>
      </c>
      <c r="AK17" s="423">
        <f t="shared" si="25"/>
        <v>0</v>
      </c>
      <c r="AL17" s="423">
        <f t="shared" si="25"/>
        <v>0</v>
      </c>
      <c r="AM17" s="423">
        <f t="shared" si="25"/>
        <v>103980</v>
      </c>
      <c r="AN17" s="423">
        <f t="shared" si="25"/>
        <v>0</v>
      </c>
      <c r="AO17" s="365">
        <f t="shared" si="25"/>
        <v>0</v>
      </c>
      <c r="AP17" s="452">
        <f t="shared" si="25"/>
        <v>343500</v>
      </c>
      <c r="AQ17" s="452">
        <f t="shared" si="25"/>
        <v>0</v>
      </c>
      <c r="AR17" s="421">
        <f t="shared" si="25"/>
        <v>0</v>
      </c>
      <c r="AS17" s="423">
        <f t="shared" si="25"/>
        <v>115119</v>
      </c>
      <c r="AT17" s="365">
        <f t="shared" si="25"/>
        <v>0</v>
      </c>
      <c r="AU17" s="479">
        <f aca="true" t="shared" si="26" ref="AU17:BP17">AU15+AU16</f>
        <v>0</v>
      </c>
      <c r="AV17" s="423">
        <f t="shared" si="26"/>
        <v>119145</v>
      </c>
      <c r="AW17" s="423">
        <f t="shared" si="26"/>
        <v>0</v>
      </c>
      <c r="AX17" s="365">
        <f t="shared" si="26"/>
        <v>0</v>
      </c>
      <c r="AY17" s="423">
        <f t="shared" si="26"/>
        <v>106941</v>
      </c>
      <c r="AZ17" s="423">
        <f t="shared" si="26"/>
        <v>0</v>
      </c>
      <c r="BA17" s="365">
        <f t="shared" si="26"/>
        <v>0</v>
      </c>
      <c r="BB17" s="365">
        <f t="shared" si="26"/>
        <v>341205</v>
      </c>
      <c r="BC17" s="365">
        <f t="shared" si="26"/>
        <v>0</v>
      </c>
      <c r="BD17" s="365">
        <f t="shared" si="26"/>
        <v>0</v>
      </c>
      <c r="BE17" s="365">
        <f t="shared" si="26"/>
        <v>118459.2</v>
      </c>
      <c r="BF17" s="365">
        <f t="shared" si="26"/>
        <v>0</v>
      </c>
      <c r="BG17" s="365">
        <f t="shared" si="26"/>
        <v>0</v>
      </c>
      <c r="BH17" s="365">
        <f t="shared" si="26"/>
        <v>126891</v>
      </c>
      <c r="BI17" s="365">
        <f t="shared" si="26"/>
        <v>0</v>
      </c>
      <c r="BJ17" s="365">
        <f t="shared" si="26"/>
        <v>0</v>
      </c>
      <c r="BK17" s="365">
        <f t="shared" si="26"/>
        <v>0</v>
      </c>
      <c r="BL17" s="365">
        <f t="shared" si="26"/>
        <v>0</v>
      </c>
      <c r="BM17" s="423">
        <f t="shared" si="26"/>
        <v>0</v>
      </c>
      <c r="BN17" s="423">
        <f t="shared" si="26"/>
        <v>245350.2</v>
      </c>
      <c r="BO17" s="423">
        <f t="shared" si="26"/>
        <v>0</v>
      </c>
      <c r="BP17" s="423">
        <f t="shared" si="26"/>
        <v>0</v>
      </c>
      <c r="BQ17" s="423">
        <v>1394564.08</v>
      </c>
      <c r="BR17" s="423">
        <v>0</v>
      </c>
      <c r="BS17" s="365">
        <v>0</v>
      </c>
      <c r="BT17" s="411">
        <v>0</v>
      </c>
      <c r="BU17" s="365">
        <v>-14514.080000000075</v>
      </c>
      <c r="BV17" s="365">
        <v>0</v>
      </c>
      <c r="BW17" s="365"/>
      <c r="BX17" s="365">
        <f aca="true" t="shared" si="27" ref="BX17:CD17">BX15+BX16</f>
        <v>25973.88</v>
      </c>
      <c r="BY17" s="365">
        <f t="shared" si="27"/>
        <v>317394.0800000001</v>
      </c>
      <c r="BZ17" s="365">
        <f t="shared" si="27"/>
        <v>1077170</v>
      </c>
      <c r="CA17" s="365">
        <v>116213.67333333334</v>
      </c>
      <c r="CB17" s="423">
        <f t="shared" si="27"/>
        <v>0</v>
      </c>
      <c r="CC17" s="208">
        <f t="shared" si="27"/>
        <v>116000</v>
      </c>
      <c r="CD17" s="208">
        <f t="shared" si="27"/>
        <v>115000</v>
      </c>
    </row>
    <row r="18" spans="1:82" s="1" customFormat="1" ht="21" customHeight="1" thickBot="1">
      <c r="A18" s="723" t="s">
        <v>10</v>
      </c>
      <c r="B18" s="724"/>
      <c r="C18" s="84">
        <f>C13+C14+C17</f>
        <v>15920520</v>
      </c>
      <c r="D18" s="55"/>
      <c r="E18" s="71">
        <v>15976571.2</v>
      </c>
      <c r="F18" s="71">
        <v>23242.04</v>
      </c>
      <c r="G18" s="149">
        <v>26251.96</v>
      </c>
      <c r="H18" s="63">
        <v>257.9599999999991</v>
      </c>
      <c r="I18" s="66">
        <v>-45193.1799999997</v>
      </c>
      <c r="J18" s="391"/>
      <c r="K18" s="133">
        <v>1331380.9333333333</v>
      </c>
      <c r="L18" s="181">
        <v>88070</v>
      </c>
      <c r="M18" s="171"/>
      <c r="N18" s="291"/>
      <c r="O18" s="232"/>
      <c r="P18" s="242"/>
      <c r="Q18" s="249">
        <f>O18+P18</f>
        <v>0</v>
      </c>
      <c r="R18" s="242"/>
      <c r="S18" s="242"/>
      <c r="T18" s="242"/>
      <c r="U18" s="311"/>
      <c r="V18" s="312"/>
      <c r="W18" s="313"/>
      <c r="X18" s="311"/>
      <c r="Y18" s="312"/>
      <c r="Z18" s="313"/>
      <c r="AA18" s="311"/>
      <c r="AB18" s="312"/>
      <c r="AC18" s="313"/>
      <c r="AD18" s="104">
        <f aca="true" t="shared" si="28" ref="AD18:AF20">U18+X18+AA18</f>
        <v>0</v>
      </c>
      <c r="AE18" s="105">
        <f t="shared" si="28"/>
        <v>0</v>
      </c>
      <c r="AF18" s="449">
        <f t="shared" si="28"/>
        <v>0</v>
      </c>
      <c r="AG18" s="311"/>
      <c r="AH18" s="312"/>
      <c r="AI18" s="313"/>
      <c r="AJ18" s="311"/>
      <c r="AK18" s="312"/>
      <c r="AL18" s="314"/>
      <c r="AM18" s="311"/>
      <c r="AN18" s="312"/>
      <c r="AO18" s="314"/>
      <c r="AP18" s="267">
        <f aca="true" t="shared" si="29" ref="AP18:AR20">AG18+AJ18+AM18</f>
        <v>0</v>
      </c>
      <c r="AQ18" s="268">
        <f t="shared" si="29"/>
        <v>0</v>
      </c>
      <c r="AR18" s="482">
        <f t="shared" si="29"/>
        <v>0</v>
      </c>
      <c r="AS18" s="311"/>
      <c r="AT18" s="314"/>
      <c r="AU18" s="356"/>
      <c r="AV18" s="311"/>
      <c r="AW18" s="312"/>
      <c r="AX18" s="314"/>
      <c r="AY18" s="311"/>
      <c r="AZ18" s="312"/>
      <c r="BA18" s="314"/>
      <c r="BB18" s="267">
        <f aca="true" t="shared" si="30" ref="BB18:BD20">AS18+AV18+AY18</f>
        <v>0</v>
      </c>
      <c r="BC18" s="268">
        <f t="shared" si="30"/>
        <v>0</v>
      </c>
      <c r="BD18" s="462">
        <f t="shared" si="30"/>
        <v>0</v>
      </c>
      <c r="BE18" s="311"/>
      <c r="BF18" s="312"/>
      <c r="BG18" s="314"/>
      <c r="BH18" s="311"/>
      <c r="BI18" s="312"/>
      <c r="BJ18" s="314"/>
      <c r="BK18" s="311"/>
      <c r="BL18" s="312"/>
      <c r="BM18" s="313"/>
      <c r="BN18" s="311">
        <f aca="true" t="shared" si="31" ref="BN18:BP20">BE18+BH18+BK18</f>
        <v>0</v>
      </c>
      <c r="BO18" s="312">
        <f t="shared" si="31"/>
        <v>0</v>
      </c>
      <c r="BP18" s="313">
        <f t="shared" si="31"/>
        <v>0</v>
      </c>
      <c r="BQ18" s="360">
        <v>0</v>
      </c>
      <c r="BR18" s="361">
        <v>0</v>
      </c>
      <c r="BS18" s="419">
        <v>0</v>
      </c>
      <c r="BT18" s="485">
        <v>0</v>
      </c>
      <c r="BU18" s="356">
        <v>0</v>
      </c>
      <c r="BV18" s="32"/>
      <c r="BW18" s="403"/>
      <c r="BX18" s="472"/>
      <c r="BY18" s="490"/>
      <c r="BZ18" s="529">
        <f>O18+R18+S18</f>
        <v>0</v>
      </c>
      <c r="CA18" s="133">
        <v>0</v>
      </c>
      <c r="CB18" s="476"/>
      <c r="CC18" s="209"/>
      <c r="CD18" s="209"/>
    </row>
    <row r="19" spans="1:82" s="1" customFormat="1" ht="18" customHeight="1">
      <c r="A19" s="716" t="s">
        <v>35</v>
      </c>
      <c r="B19" s="7" t="s">
        <v>12</v>
      </c>
      <c r="C19" s="81">
        <f>624390-400000-100000</f>
        <v>124390</v>
      </c>
      <c r="D19" s="51">
        <v>32495.08</v>
      </c>
      <c r="E19" s="104">
        <v>78310.42</v>
      </c>
      <c r="F19" s="105">
        <v>124153.7</v>
      </c>
      <c r="G19" s="146">
        <v>94484.25</v>
      </c>
      <c r="H19" s="137">
        <v>236.3000000000029</v>
      </c>
      <c r="I19" s="98"/>
      <c r="J19" s="389">
        <v>78338.37</v>
      </c>
      <c r="K19" s="133">
        <v>6525.868333333333</v>
      </c>
      <c r="L19" s="176"/>
      <c r="M19" s="171"/>
      <c r="N19" s="291"/>
      <c r="O19" s="229">
        <v>0</v>
      </c>
      <c r="P19" s="240">
        <v>74910</v>
      </c>
      <c r="Q19" s="247">
        <f>O19+R19+S19+T19</f>
        <v>30000</v>
      </c>
      <c r="R19" s="240">
        <v>0</v>
      </c>
      <c r="S19" s="240">
        <v>25000</v>
      </c>
      <c r="T19" s="240">
        <f>74880-29880-40000</f>
        <v>5000</v>
      </c>
      <c r="U19" s="311">
        <v>0</v>
      </c>
      <c r="V19" s="312"/>
      <c r="W19" s="313">
        <v>26286.93</v>
      </c>
      <c r="X19" s="311">
        <v>6808.14</v>
      </c>
      <c r="Y19" s="312"/>
      <c r="Z19" s="313">
        <v>3364.05</v>
      </c>
      <c r="AA19" s="311">
        <v>1270.94</v>
      </c>
      <c r="AB19" s="312"/>
      <c r="AC19" s="313"/>
      <c r="AD19" s="104">
        <f t="shared" si="28"/>
        <v>8079.08</v>
      </c>
      <c r="AE19" s="105">
        <f t="shared" si="28"/>
        <v>0</v>
      </c>
      <c r="AF19" s="449">
        <f t="shared" si="28"/>
        <v>29650.98</v>
      </c>
      <c r="AG19" s="311">
        <v>0</v>
      </c>
      <c r="AH19" s="312"/>
      <c r="AI19" s="313"/>
      <c r="AJ19" s="311"/>
      <c r="AK19" s="312"/>
      <c r="AL19" s="314"/>
      <c r="AM19" s="311">
        <v>21208.89</v>
      </c>
      <c r="AN19" s="312"/>
      <c r="AO19" s="314"/>
      <c r="AP19" s="267">
        <f t="shared" si="29"/>
        <v>21208.89</v>
      </c>
      <c r="AQ19" s="268">
        <f t="shared" si="29"/>
        <v>0</v>
      </c>
      <c r="AR19" s="482">
        <f t="shared" si="29"/>
        <v>0</v>
      </c>
      <c r="AS19" s="311">
        <v>5083.76</v>
      </c>
      <c r="AT19" s="314"/>
      <c r="AU19" s="356"/>
      <c r="AV19" s="311">
        <v>10092.14</v>
      </c>
      <c r="AW19" s="312"/>
      <c r="AX19" s="314"/>
      <c r="AY19" s="311">
        <v>0</v>
      </c>
      <c r="AZ19" s="312"/>
      <c r="BA19" s="314"/>
      <c r="BB19" s="267">
        <f t="shared" si="30"/>
        <v>15175.9</v>
      </c>
      <c r="BC19" s="268">
        <f t="shared" si="30"/>
        <v>0</v>
      </c>
      <c r="BD19" s="462">
        <f t="shared" si="30"/>
        <v>0</v>
      </c>
      <c r="BE19" s="311">
        <v>9251.13</v>
      </c>
      <c r="BF19" s="312"/>
      <c r="BG19" s="314"/>
      <c r="BH19" s="311">
        <v>3993.76</v>
      </c>
      <c r="BI19" s="312"/>
      <c r="BJ19" s="314"/>
      <c r="BK19" s="311"/>
      <c r="BL19" s="312"/>
      <c r="BM19" s="313"/>
      <c r="BN19" s="311">
        <f t="shared" si="31"/>
        <v>13244.89</v>
      </c>
      <c r="BO19" s="312">
        <f t="shared" si="31"/>
        <v>0</v>
      </c>
      <c r="BP19" s="313">
        <f t="shared" si="31"/>
        <v>0</v>
      </c>
      <c r="BQ19" s="360">
        <v>69482.91</v>
      </c>
      <c r="BR19" s="361">
        <v>16820.23</v>
      </c>
      <c r="BS19" s="419">
        <v>29651.09</v>
      </c>
      <c r="BT19" s="485">
        <v>13179.77</v>
      </c>
      <c r="BU19" s="356"/>
      <c r="BV19" s="32">
        <v>25675.69</v>
      </c>
      <c r="BW19" s="403"/>
      <c r="BX19" s="469">
        <v>-24970</v>
      </c>
      <c r="BY19" s="489">
        <f>BR19-BZ19</f>
        <v>-8179.77</v>
      </c>
      <c r="BZ19" s="529">
        <f>O19+R19+S19</f>
        <v>25000</v>
      </c>
      <c r="CA19" s="133">
        <v>5790.2425</v>
      </c>
      <c r="CB19" s="476">
        <v>0</v>
      </c>
      <c r="CC19" s="206">
        <v>3000</v>
      </c>
      <c r="CD19" s="206">
        <v>3000</v>
      </c>
    </row>
    <row r="20" spans="1:82" s="1" customFormat="1" ht="18" customHeight="1" thickBot="1">
      <c r="A20" s="717"/>
      <c r="B20" s="22" t="s">
        <v>13</v>
      </c>
      <c r="C20" s="83">
        <f>70220+5760+8500</f>
        <v>84480</v>
      </c>
      <c r="D20" s="50">
        <v>27041.07</v>
      </c>
      <c r="E20" s="104">
        <v>97144.14</v>
      </c>
      <c r="F20" s="105">
        <v>82975.35</v>
      </c>
      <c r="G20" s="146">
        <v>77777.28</v>
      </c>
      <c r="H20" s="137">
        <v>1504.6500000000087</v>
      </c>
      <c r="I20" s="98"/>
      <c r="J20" s="389">
        <v>12872.29</v>
      </c>
      <c r="K20" s="133">
        <v>8095.345</v>
      </c>
      <c r="L20" s="182"/>
      <c r="M20" s="193"/>
      <c r="N20" s="291"/>
      <c r="O20" s="233">
        <v>21170</v>
      </c>
      <c r="P20" s="243">
        <f>67890-2570</f>
        <v>65320</v>
      </c>
      <c r="Q20" s="247">
        <f>O20+R20+S20+T20</f>
        <v>107000</v>
      </c>
      <c r="R20" s="243">
        <v>25200</v>
      </c>
      <c r="S20" s="243">
        <v>25200</v>
      </c>
      <c r="T20" s="240">
        <f>18950+12150+4330</f>
        <v>35430</v>
      </c>
      <c r="U20" s="311">
        <v>8334.58</v>
      </c>
      <c r="V20" s="312"/>
      <c r="W20" s="313"/>
      <c r="X20" s="311">
        <v>0</v>
      </c>
      <c r="Y20" s="312"/>
      <c r="Z20" s="313">
        <v>20743.84</v>
      </c>
      <c r="AA20" s="311">
        <v>15632.17</v>
      </c>
      <c r="AB20" s="312">
        <v>20709.65</v>
      </c>
      <c r="AC20" s="313"/>
      <c r="AD20" s="104">
        <f t="shared" si="28"/>
        <v>23966.75</v>
      </c>
      <c r="AE20" s="105">
        <f t="shared" si="28"/>
        <v>20709.65</v>
      </c>
      <c r="AF20" s="449">
        <f t="shared" si="28"/>
        <v>20743.84</v>
      </c>
      <c r="AG20" s="311">
        <v>8320.84</v>
      </c>
      <c r="AH20" s="312"/>
      <c r="AI20" s="313"/>
      <c r="AJ20" s="311">
        <v>8320.84</v>
      </c>
      <c r="AK20" s="312">
        <v>23298.36</v>
      </c>
      <c r="AL20" s="314">
        <v>20709.65</v>
      </c>
      <c r="AM20" s="311">
        <v>8320.84</v>
      </c>
      <c r="AN20" s="312"/>
      <c r="AO20" s="314"/>
      <c r="AP20" s="267">
        <f t="shared" si="29"/>
        <v>24962.52</v>
      </c>
      <c r="AQ20" s="268">
        <f t="shared" si="29"/>
        <v>23298.36</v>
      </c>
      <c r="AR20" s="482">
        <f t="shared" si="29"/>
        <v>20709.65</v>
      </c>
      <c r="AS20" s="311">
        <v>8320.84</v>
      </c>
      <c r="AT20" s="314">
        <v>25887.06</v>
      </c>
      <c r="AU20" s="356">
        <v>23298.36</v>
      </c>
      <c r="AV20" s="311">
        <v>8320.84</v>
      </c>
      <c r="AW20" s="312"/>
      <c r="AX20" s="314"/>
      <c r="AY20" s="311">
        <v>8320.84</v>
      </c>
      <c r="AZ20" s="312"/>
      <c r="BA20" s="314">
        <v>25887.06</v>
      </c>
      <c r="BB20" s="267">
        <f t="shared" si="30"/>
        <v>24962.52</v>
      </c>
      <c r="BC20" s="268">
        <f t="shared" si="30"/>
        <v>25887.06</v>
      </c>
      <c r="BD20" s="462">
        <f t="shared" si="30"/>
        <v>49185.42</v>
      </c>
      <c r="BE20" s="311">
        <v>8320.84</v>
      </c>
      <c r="BF20" s="312"/>
      <c r="BG20" s="314"/>
      <c r="BH20" s="311">
        <v>8320.84</v>
      </c>
      <c r="BI20" s="312">
        <v>25887.06</v>
      </c>
      <c r="BJ20" s="314"/>
      <c r="BK20" s="311"/>
      <c r="BL20" s="312"/>
      <c r="BM20" s="313"/>
      <c r="BN20" s="311">
        <f t="shared" si="31"/>
        <v>16641.68</v>
      </c>
      <c r="BO20" s="312">
        <f t="shared" si="31"/>
        <v>25887.06</v>
      </c>
      <c r="BP20" s="313">
        <f t="shared" si="31"/>
        <v>0</v>
      </c>
      <c r="BQ20" s="360">
        <v>98854.31</v>
      </c>
      <c r="BR20" s="361">
        <v>103548.25</v>
      </c>
      <c r="BS20" s="419">
        <v>90638.91</v>
      </c>
      <c r="BT20" s="485">
        <v>3451.75</v>
      </c>
      <c r="BU20" s="356"/>
      <c r="BV20" s="32">
        <v>17566.23</v>
      </c>
      <c r="BW20" s="403"/>
      <c r="BX20" s="469">
        <v>-4490.35</v>
      </c>
      <c r="BY20" s="489">
        <f>BR20-BZ20</f>
        <v>31978.25</v>
      </c>
      <c r="BZ20" s="529">
        <f>O20+R20+S20</f>
        <v>71570</v>
      </c>
      <c r="CA20" s="133">
        <v>8237.859166666667</v>
      </c>
      <c r="CB20" s="476">
        <v>0</v>
      </c>
      <c r="CC20" s="210">
        <v>9000</v>
      </c>
      <c r="CD20" s="210">
        <v>9000</v>
      </c>
    </row>
    <row r="21" spans="1:82" s="1" customFormat="1" ht="19.5" customHeight="1" thickBot="1">
      <c r="A21" s="723" t="s">
        <v>14</v>
      </c>
      <c r="B21" s="724"/>
      <c r="C21" s="84">
        <f>C19+C20</f>
        <v>208870</v>
      </c>
      <c r="D21" s="33">
        <f>D19+D20</f>
        <v>59536.15</v>
      </c>
      <c r="E21" s="70">
        <v>175454.56</v>
      </c>
      <c r="F21" s="70">
        <v>207129.05</v>
      </c>
      <c r="G21" s="148">
        <v>172261.53</v>
      </c>
      <c r="H21" s="62">
        <v>1740.9500000000116</v>
      </c>
      <c r="I21" s="65">
        <v>0</v>
      </c>
      <c r="J21" s="390">
        <v>91210.64</v>
      </c>
      <c r="K21" s="133">
        <v>14621.213333333333</v>
      </c>
      <c r="L21" s="180"/>
      <c r="M21" s="197">
        <v>-1740.9500000000116</v>
      </c>
      <c r="N21" s="291"/>
      <c r="O21" s="231">
        <f aca="true" t="shared" si="32" ref="O21:AT21">O19+O20</f>
        <v>21170</v>
      </c>
      <c r="P21" s="231">
        <f t="shared" si="32"/>
        <v>140230</v>
      </c>
      <c r="Q21" s="378">
        <f t="shared" si="32"/>
        <v>137000</v>
      </c>
      <c r="R21" s="348">
        <f t="shared" si="32"/>
        <v>25200</v>
      </c>
      <c r="S21" s="348">
        <f t="shared" si="32"/>
        <v>50200</v>
      </c>
      <c r="T21" s="348">
        <f t="shared" si="32"/>
        <v>40430</v>
      </c>
      <c r="U21" s="365">
        <f t="shared" si="32"/>
        <v>8334.58</v>
      </c>
      <c r="V21" s="365">
        <f t="shared" si="32"/>
        <v>0</v>
      </c>
      <c r="W21" s="365">
        <f t="shared" si="32"/>
        <v>26286.93</v>
      </c>
      <c r="X21" s="365">
        <f t="shared" si="32"/>
        <v>6808.14</v>
      </c>
      <c r="Y21" s="365">
        <f t="shared" si="32"/>
        <v>0</v>
      </c>
      <c r="Z21" s="365">
        <f t="shared" si="32"/>
        <v>24107.89</v>
      </c>
      <c r="AA21" s="365">
        <f t="shared" si="32"/>
        <v>16903.11</v>
      </c>
      <c r="AB21" s="365">
        <f t="shared" si="32"/>
        <v>20709.65</v>
      </c>
      <c r="AC21" s="423">
        <f t="shared" si="32"/>
        <v>0</v>
      </c>
      <c r="AD21" s="421">
        <f t="shared" si="32"/>
        <v>32045.83</v>
      </c>
      <c r="AE21" s="421">
        <f t="shared" si="32"/>
        <v>20709.65</v>
      </c>
      <c r="AF21" s="452">
        <f t="shared" si="32"/>
        <v>50394.82</v>
      </c>
      <c r="AG21" s="423">
        <f t="shared" si="32"/>
        <v>8320.84</v>
      </c>
      <c r="AH21" s="423">
        <f t="shared" si="32"/>
        <v>0</v>
      </c>
      <c r="AI21" s="423">
        <f t="shared" si="32"/>
        <v>0</v>
      </c>
      <c r="AJ21" s="423">
        <f t="shared" si="32"/>
        <v>8320.84</v>
      </c>
      <c r="AK21" s="423">
        <f t="shared" si="32"/>
        <v>23298.36</v>
      </c>
      <c r="AL21" s="423">
        <f t="shared" si="32"/>
        <v>20709.65</v>
      </c>
      <c r="AM21" s="423">
        <f t="shared" si="32"/>
        <v>29529.73</v>
      </c>
      <c r="AN21" s="423">
        <f t="shared" si="32"/>
        <v>0</v>
      </c>
      <c r="AO21" s="365">
        <f t="shared" si="32"/>
        <v>0</v>
      </c>
      <c r="AP21" s="452">
        <f t="shared" si="32"/>
        <v>46171.41</v>
      </c>
      <c r="AQ21" s="452">
        <f t="shared" si="32"/>
        <v>23298.36</v>
      </c>
      <c r="AR21" s="421">
        <f t="shared" si="32"/>
        <v>20709.65</v>
      </c>
      <c r="AS21" s="423">
        <f t="shared" si="32"/>
        <v>13404.6</v>
      </c>
      <c r="AT21" s="365">
        <f t="shared" si="32"/>
        <v>25887.06</v>
      </c>
      <c r="AU21" s="479">
        <f aca="true" t="shared" si="33" ref="AU21:BP21">AU19+AU20</f>
        <v>23298.36</v>
      </c>
      <c r="AV21" s="423">
        <f t="shared" si="33"/>
        <v>18412.98</v>
      </c>
      <c r="AW21" s="423">
        <f t="shared" si="33"/>
        <v>0</v>
      </c>
      <c r="AX21" s="365">
        <f t="shared" si="33"/>
        <v>0</v>
      </c>
      <c r="AY21" s="423">
        <f t="shared" si="33"/>
        <v>8320.84</v>
      </c>
      <c r="AZ21" s="423">
        <f t="shared" si="33"/>
        <v>0</v>
      </c>
      <c r="BA21" s="365">
        <f t="shared" si="33"/>
        <v>25887.06</v>
      </c>
      <c r="BB21" s="365">
        <f t="shared" si="33"/>
        <v>40138.42</v>
      </c>
      <c r="BC21" s="365">
        <f t="shared" si="33"/>
        <v>25887.06</v>
      </c>
      <c r="BD21" s="365">
        <f t="shared" si="33"/>
        <v>49185.42</v>
      </c>
      <c r="BE21" s="365">
        <f t="shared" si="33"/>
        <v>17571.97</v>
      </c>
      <c r="BF21" s="365">
        <f t="shared" si="33"/>
        <v>0</v>
      </c>
      <c r="BG21" s="365">
        <f t="shared" si="33"/>
        <v>0</v>
      </c>
      <c r="BH21" s="365">
        <f t="shared" si="33"/>
        <v>12314.6</v>
      </c>
      <c r="BI21" s="365">
        <f t="shared" si="33"/>
        <v>25887.06</v>
      </c>
      <c r="BJ21" s="365">
        <f t="shared" si="33"/>
        <v>0</v>
      </c>
      <c r="BK21" s="365">
        <f t="shared" si="33"/>
        <v>0</v>
      </c>
      <c r="BL21" s="365">
        <f t="shared" si="33"/>
        <v>0</v>
      </c>
      <c r="BM21" s="423">
        <f t="shared" si="33"/>
        <v>0</v>
      </c>
      <c r="BN21" s="423">
        <f t="shared" si="33"/>
        <v>29886.57</v>
      </c>
      <c r="BO21" s="423">
        <f t="shared" si="33"/>
        <v>25887.06</v>
      </c>
      <c r="BP21" s="423">
        <f t="shared" si="33"/>
        <v>0</v>
      </c>
      <c r="BQ21" s="423">
        <v>168337.22</v>
      </c>
      <c r="BR21" s="423">
        <v>120368.48</v>
      </c>
      <c r="BS21" s="365">
        <v>120290</v>
      </c>
      <c r="BT21" s="411">
        <v>16631.52</v>
      </c>
      <c r="BU21" s="365">
        <v>0</v>
      </c>
      <c r="BV21" s="365">
        <v>43241.92</v>
      </c>
      <c r="BW21" s="365"/>
      <c r="BX21" s="365">
        <f aca="true" t="shared" si="34" ref="BX21:CD21">BX19+BX20</f>
        <v>-29460.35</v>
      </c>
      <c r="BY21" s="365">
        <f t="shared" si="34"/>
        <v>23798.48</v>
      </c>
      <c r="BZ21" s="365">
        <f t="shared" si="34"/>
        <v>96570</v>
      </c>
      <c r="CA21" s="365">
        <v>14028.10166666667</v>
      </c>
      <c r="CB21" s="423">
        <f t="shared" si="34"/>
        <v>0</v>
      </c>
      <c r="CC21" s="550">
        <f t="shared" si="34"/>
        <v>12000</v>
      </c>
      <c r="CD21" s="550">
        <f t="shared" si="34"/>
        <v>12000</v>
      </c>
    </row>
    <row r="22" spans="1:82" s="1" customFormat="1" ht="18" customHeight="1">
      <c r="A22" s="716" t="s">
        <v>34</v>
      </c>
      <c r="B22" s="7" t="s">
        <v>0</v>
      </c>
      <c r="C22" s="81">
        <f>6930+19960-1800+320+3550+1650</f>
        <v>30610</v>
      </c>
      <c r="D22" s="51"/>
      <c r="E22" s="104">
        <v>28400.14</v>
      </c>
      <c r="F22" s="105">
        <v>0</v>
      </c>
      <c r="G22" s="146">
        <v>0</v>
      </c>
      <c r="H22" s="137"/>
      <c r="I22" s="98">
        <v>2209.86</v>
      </c>
      <c r="J22" s="389"/>
      <c r="K22" s="133">
        <v>2366.6783333333333</v>
      </c>
      <c r="L22" s="176"/>
      <c r="M22" s="39">
        <v>-2209.86</v>
      </c>
      <c r="N22" s="291"/>
      <c r="O22" s="232">
        <v>7520</v>
      </c>
      <c r="P22" s="242">
        <v>16550</v>
      </c>
      <c r="Q22" s="249">
        <f aca="true" t="shared" si="35" ref="Q22:Q27">O22+R22+S22+T22</f>
        <v>27720</v>
      </c>
      <c r="R22" s="242">
        <v>7500</v>
      </c>
      <c r="S22" s="242">
        <f>7500-2430</f>
        <v>5070</v>
      </c>
      <c r="T22" s="242">
        <f>1550+3040+3040</f>
        <v>7630</v>
      </c>
      <c r="U22" s="311">
        <v>2074.65</v>
      </c>
      <c r="V22" s="312"/>
      <c r="W22" s="313"/>
      <c r="X22" s="311">
        <v>3364.29</v>
      </c>
      <c r="Y22" s="312"/>
      <c r="Z22" s="313"/>
      <c r="AA22" s="311">
        <v>841.06</v>
      </c>
      <c r="AB22" s="312"/>
      <c r="AC22" s="313"/>
      <c r="AD22" s="104">
        <f aca="true" t="shared" si="36" ref="AD22:AF27">U22+X22+AA22</f>
        <v>6280</v>
      </c>
      <c r="AE22" s="105">
        <f t="shared" si="36"/>
        <v>0</v>
      </c>
      <c r="AF22" s="449">
        <f t="shared" si="36"/>
        <v>0</v>
      </c>
      <c r="AG22" s="311">
        <v>1682.14</v>
      </c>
      <c r="AH22" s="312"/>
      <c r="AI22" s="313"/>
      <c r="AJ22" s="311">
        <v>2943.75</v>
      </c>
      <c r="AK22" s="312"/>
      <c r="AL22" s="314"/>
      <c r="AM22" s="311">
        <v>1682.16</v>
      </c>
      <c r="AN22" s="312"/>
      <c r="AO22" s="314"/>
      <c r="AP22" s="267">
        <f aca="true" t="shared" si="37" ref="AP22:AR27">AG22+AJ22+AM22</f>
        <v>6308.05</v>
      </c>
      <c r="AQ22" s="268">
        <f t="shared" si="37"/>
        <v>0</v>
      </c>
      <c r="AR22" s="482">
        <f t="shared" si="37"/>
        <v>0</v>
      </c>
      <c r="AS22" s="311">
        <v>2102.66</v>
      </c>
      <c r="AT22" s="314"/>
      <c r="AU22" s="356"/>
      <c r="AV22" s="311">
        <v>3784.81</v>
      </c>
      <c r="AW22" s="312"/>
      <c r="AX22" s="314"/>
      <c r="AY22" s="311">
        <v>2523.2</v>
      </c>
      <c r="AZ22" s="312"/>
      <c r="BA22" s="314"/>
      <c r="BB22" s="267">
        <f aca="true" t="shared" si="38" ref="BB22:BD27">AS22+AV22+AY22</f>
        <v>8410.669999999998</v>
      </c>
      <c r="BC22" s="268">
        <f t="shared" si="38"/>
        <v>0</v>
      </c>
      <c r="BD22" s="462">
        <f t="shared" si="38"/>
        <v>0</v>
      </c>
      <c r="BE22" s="311">
        <v>2102.68</v>
      </c>
      <c r="BF22" s="312"/>
      <c r="BG22" s="314"/>
      <c r="BH22" s="311">
        <v>3784.82</v>
      </c>
      <c r="BI22" s="312"/>
      <c r="BJ22" s="314"/>
      <c r="BK22" s="311"/>
      <c r="BL22" s="312"/>
      <c r="BM22" s="313"/>
      <c r="BN22" s="311">
        <f aca="true" t="shared" si="39" ref="BN22:BP27">BE22+BH22+BK22</f>
        <v>5887.5</v>
      </c>
      <c r="BO22" s="312">
        <f t="shared" si="39"/>
        <v>0</v>
      </c>
      <c r="BP22" s="313">
        <f t="shared" si="39"/>
        <v>0</v>
      </c>
      <c r="BQ22" s="360">
        <v>29409.44</v>
      </c>
      <c r="BR22" s="361">
        <v>0</v>
      </c>
      <c r="BS22" s="419">
        <v>0</v>
      </c>
      <c r="BT22" s="485"/>
      <c r="BU22" s="356">
        <v>-1689.44</v>
      </c>
      <c r="BV22" s="32"/>
      <c r="BW22" s="403"/>
      <c r="BX22" s="469">
        <v>-1240</v>
      </c>
      <c r="BY22" s="489">
        <f>BQ22-BZ22</f>
        <v>9319.439999999999</v>
      </c>
      <c r="BZ22" s="529">
        <f aca="true" t="shared" si="40" ref="BZ22:BZ31">O22+R22+S22</f>
        <v>20090</v>
      </c>
      <c r="CA22" s="133">
        <v>2450.7866666666664</v>
      </c>
      <c r="CB22" s="476">
        <v>0</v>
      </c>
      <c r="CC22" s="209">
        <v>2000</v>
      </c>
      <c r="CD22" s="209">
        <v>2000</v>
      </c>
    </row>
    <row r="23" spans="1:82" s="1" customFormat="1" ht="19.5" customHeight="1" thickBot="1">
      <c r="A23" s="718"/>
      <c r="B23" s="24" t="s">
        <v>30</v>
      </c>
      <c r="C23" s="83">
        <f>943490+35400+72000+1000</f>
        <v>1051890</v>
      </c>
      <c r="D23" s="52">
        <v>238686.46</v>
      </c>
      <c r="E23" s="104">
        <v>1193432.27</v>
      </c>
      <c r="F23" s="105">
        <v>1050220.4</v>
      </c>
      <c r="G23" s="146">
        <v>1193446.16</v>
      </c>
      <c r="H23" s="137">
        <v>1669.6000000000931</v>
      </c>
      <c r="I23" s="98"/>
      <c r="J23" s="389">
        <v>95474.58</v>
      </c>
      <c r="K23" s="133">
        <v>99452.68916666666</v>
      </c>
      <c r="L23" s="177"/>
      <c r="M23" s="38">
        <v>-1669.6000000000931</v>
      </c>
      <c r="N23" s="291"/>
      <c r="O23" s="229">
        <v>303010</v>
      </c>
      <c r="P23" s="240">
        <f>612210+8220</f>
        <v>620430</v>
      </c>
      <c r="Q23" s="249">
        <f t="shared" si="35"/>
        <v>1300860</v>
      </c>
      <c r="R23" s="240">
        <v>286500</v>
      </c>
      <c r="S23" s="240">
        <f>269840</f>
        <v>269840</v>
      </c>
      <c r="T23" s="242">
        <f>39360-16660+95480+161670+161660</f>
        <v>441510</v>
      </c>
      <c r="U23" s="311">
        <v>95474.58</v>
      </c>
      <c r="V23" s="312"/>
      <c r="W23" s="313">
        <v>190939.69</v>
      </c>
      <c r="X23" s="311">
        <v>95474.58</v>
      </c>
      <c r="Y23" s="312">
        <v>274489.42</v>
      </c>
      <c r="Z23" s="313">
        <v>9.47</v>
      </c>
      <c r="AA23" s="311">
        <v>95474.58</v>
      </c>
      <c r="AB23" s="312"/>
      <c r="AC23" s="313"/>
      <c r="AD23" s="104">
        <f t="shared" si="36"/>
        <v>286423.74</v>
      </c>
      <c r="AE23" s="105">
        <f t="shared" si="36"/>
        <v>274489.42</v>
      </c>
      <c r="AF23" s="449">
        <f t="shared" si="36"/>
        <v>190949.16</v>
      </c>
      <c r="AG23" s="311">
        <v>95474.58</v>
      </c>
      <c r="AH23" s="312">
        <v>59671.61</v>
      </c>
      <c r="AI23" s="313">
        <v>274477.68</v>
      </c>
      <c r="AJ23" s="311">
        <v>119343.23</v>
      </c>
      <c r="AK23" s="312">
        <v>143211.87</v>
      </c>
      <c r="AL23" s="314">
        <v>11.74</v>
      </c>
      <c r="AM23" s="311">
        <v>83540.26</v>
      </c>
      <c r="AN23" s="312">
        <v>95474.58</v>
      </c>
      <c r="AO23" s="314">
        <v>59671.61</v>
      </c>
      <c r="AP23" s="267">
        <f t="shared" si="37"/>
        <v>298358.07</v>
      </c>
      <c r="AQ23" s="268">
        <f t="shared" si="37"/>
        <v>298358.06</v>
      </c>
      <c r="AR23" s="482">
        <f t="shared" si="37"/>
        <v>334161.02999999997</v>
      </c>
      <c r="AS23" s="311">
        <v>119343.22</v>
      </c>
      <c r="AT23" s="314">
        <v>143211.87</v>
      </c>
      <c r="AU23" s="356">
        <v>143211.87</v>
      </c>
      <c r="AV23" s="311">
        <v>95474.58</v>
      </c>
      <c r="AW23" s="312">
        <v>95474.58</v>
      </c>
      <c r="AX23" s="314">
        <v>95473.7</v>
      </c>
      <c r="AY23" s="311">
        <v>95474.58</v>
      </c>
      <c r="AZ23" s="312">
        <v>47737.29</v>
      </c>
      <c r="BA23" s="314">
        <v>143205.31</v>
      </c>
      <c r="BB23" s="267">
        <f t="shared" si="38"/>
        <v>310292.38</v>
      </c>
      <c r="BC23" s="268">
        <f t="shared" si="38"/>
        <v>286423.74</v>
      </c>
      <c r="BD23" s="462">
        <f t="shared" si="38"/>
        <v>381890.88</v>
      </c>
      <c r="BE23" s="311">
        <v>119343.22</v>
      </c>
      <c r="BF23" s="312">
        <v>95474.58</v>
      </c>
      <c r="BG23" s="314">
        <v>95470.05</v>
      </c>
      <c r="BH23" s="311">
        <v>95474.58</v>
      </c>
      <c r="BI23" s="312">
        <v>143211.87</v>
      </c>
      <c r="BJ23" s="314">
        <v>47749.26</v>
      </c>
      <c r="BK23" s="311"/>
      <c r="BL23" s="312"/>
      <c r="BM23" s="313"/>
      <c r="BN23" s="311">
        <f t="shared" si="39"/>
        <v>214817.8</v>
      </c>
      <c r="BO23" s="312">
        <f t="shared" si="39"/>
        <v>238686.45</v>
      </c>
      <c r="BP23" s="313">
        <f t="shared" si="39"/>
        <v>143219.31</v>
      </c>
      <c r="BQ23" s="360">
        <v>1205366.57</v>
      </c>
      <c r="BR23" s="361">
        <v>1241169.54</v>
      </c>
      <c r="BS23" s="419">
        <v>1050232.56</v>
      </c>
      <c r="BT23" s="485">
        <v>59690.46</v>
      </c>
      <c r="BU23" s="356"/>
      <c r="BV23" s="32">
        <v>131277.55</v>
      </c>
      <c r="BW23" s="403"/>
      <c r="BX23" s="469">
        <v>-28520.58</v>
      </c>
      <c r="BY23" s="489">
        <f>BR23-BZ23</f>
        <v>381819.54000000004</v>
      </c>
      <c r="BZ23" s="529">
        <f t="shared" si="40"/>
        <v>859350</v>
      </c>
      <c r="CA23" s="133">
        <v>100447.21416666667</v>
      </c>
      <c r="CB23" s="476">
        <v>0</v>
      </c>
      <c r="CC23" s="206">
        <v>108000</v>
      </c>
      <c r="CD23" s="206">
        <v>108000</v>
      </c>
    </row>
    <row r="24" spans="1:82" s="1" customFormat="1" ht="15.75" customHeight="1" thickBot="1">
      <c r="A24" s="718"/>
      <c r="B24" s="25" t="s">
        <v>31</v>
      </c>
      <c r="C24" s="82">
        <f>56500+19760+6400-2400</f>
        <v>80260</v>
      </c>
      <c r="D24" s="49"/>
      <c r="E24" s="104">
        <v>94285.38</v>
      </c>
      <c r="F24" s="105">
        <v>0</v>
      </c>
      <c r="G24" s="146">
        <v>0</v>
      </c>
      <c r="H24" s="137"/>
      <c r="I24" s="191">
        <v>-14025.38</v>
      </c>
      <c r="J24" s="389"/>
      <c r="K24" s="133">
        <v>7857.114999999999</v>
      </c>
      <c r="L24" s="173"/>
      <c r="M24" s="196">
        <v>14025.38</v>
      </c>
      <c r="N24" s="291">
        <v>14025.38</v>
      </c>
      <c r="O24" s="229">
        <v>23580</v>
      </c>
      <c r="P24" s="240">
        <v>45980</v>
      </c>
      <c r="Q24" s="249">
        <f t="shared" si="35"/>
        <v>99560</v>
      </c>
      <c r="R24" s="240">
        <v>23600</v>
      </c>
      <c r="S24" s="240">
        <f>22380+8560</f>
        <v>30940</v>
      </c>
      <c r="T24" s="242">
        <f>10720+10720</f>
        <v>21440</v>
      </c>
      <c r="U24" s="311"/>
      <c r="V24" s="312"/>
      <c r="W24" s="313"/>
      <c r="X24" s="311"/>
      <c r="Y24" s="312"/>
      <c r="Z24" s="313"/>
      <c r="AA24" s="311">
        <v>21365.16</v>
      </c>
      <c r="AB24" s="312"/>
      <c r="AC24" s="313"/>
      <c r="AD24" s="104">
        <f t="shared" si="36"/>
        <v>21365.16</v>
      </c>
      <c r="AE24" s="105">
        <f t="shared" si="36"/>
        <v>0</v>
      </c>
      <c r="AF24" s="449">
        <f t="shared" si="36"/>
        <v>0</v>
      </c>
      <c r="AG24" s="311">
        <v>0</v>
      </c>
      <c r="AH24" s="312"/>
      <c r="AI24" s="313"/>
      <c r="AJ24" s="311">
        <v>0</v>
      </c>
      <c r="AK24" s="312"/>
      <c r="AL24" s="314"/>
      <c r="AM24" s="311">
        <v>21365.16</v>
      </c>
      <c r="AN24" s="312"/>
      <c r="AO24" s="314"/>
      <c r="AP24" s="267">
        <f t="shared" si="37"/>
        <v>21365.16</v>
      </c>
      <c r="AQ24" s="268">
        <f t="shared" si="37"/>
        <v>0</v>
      </c>
      <c r="AR24" s="482">
        <f t="shared" si="37"/>
        <v>0</v>
      </c>
      <c r="AS24" s="311">
        <v>0</v>
      </c>
      <c r="AT24" s="314"/>
      <c r="AU24" s="356"/>
      <c r="AV24" s="311">
        <v>0</v>
      </c>
      <c r="AW24" s="312"/>
      <c r="AX24" s="314"/>
      <c r="AY24" s="311">
        <v>21365.16</v>
      </c>
      <c r="AZ24" s="312"/>
      <c r="BA24" s="314"/>
      <c r="BB24" s="267">
        <f t="shared" si="38"/>
        <v>21365.16</v>
      </c>
      <c r="BC24" s="268">
        <f t="shared" si="38"/>
        <v>0</v>
      </c>
      <c r="BD24" s="462">
        <f t="shared" si="38"/>
        <v>0</v>
      </c>
      <c r="BE24" s="311">
        <v>0</v>
      </c>
      <c r="BF24" s="312"/>
      <c r="BG24" s="314"/>
      <c r="BH24" s="311"/>
      <c r="BI24" s="312"/>
      <c r="BJ24" s="314"/>
      <c r="BK24" s="311"/>
      <c r="BL24" s="312"/>
      <c r="BM24" s="313"/>
      <c r="BN24" s="311">
        <f t="shared" si="39"/>
        <v>0</v>
      </c>
      <c r="BO24" s="312">
        <f t="shared" si="39"/>
        <v>0</v>
      </c>
      <c r="BP24" s="313">
        <f t="shared" si="39"/>
        <v>0</v>
      </c>
      <c r="BQ24" s="360">
        <v>75706.98</v>
      </c>
      <c r="BR24" s="361">
        <v>0</v>
      </c>
      <c r="BS24" s="419">
        <v>0</v>
      </c>
      <c r="BT24" s="485"/>
      <c r="BU24" s="356">
        <v>23853.02</v>
      </c>
      <c r="BV24" s="32"/>
      <c r="BW24" s="403">
        <v>14025.38</v>
      </c>
      <c r="BX24" s="469">
        <v>-2214.84</v>
      </c>
      <c r="BY24" s="489">
        <f>BQ24+BW24-BZ24</f>
        <v>11612.36</v>
      </c>
      <c r="BZ24" s="529">
        <f t="shared" si="40"/>
        <v>78120</v>
      </c>
      <c r="CA24" s="133">
        <v>6308.915</v>
      </c>
      <c r="CB24" s="476">
        <v>0</v>
      </c>
      <c r="CC24" s="206">
        <v>8000</v>
      </c>
      <c r="CD24" s="206">
        <v>8000</v>
      </c>
    </row>
    <row r="25" spans="1:82" s="1" customFormat="1" ht="15.75" customHeight="1">
      <c r="A25" s="718"/>
      <c r="B25" s="25" t="s">
        <v>55</v>
      </c>
      <c r="C25" s="82">
        <f>199230+392040+580000-13400</f>
        <v>1157870</v>
      </c>
      <c r="D25" s="49"/>
      <c r="E25" s="104">
        <v>1157822.64</v>
      </c>
      <c r="F25" s="105"/>
      <c r="G25" s="146"/>
      <c r="H25" s="137"/>
      <c r="I25" s="98">
        <v>47.359999999869615</v>
      </c>
      <c r="J25" s="389"/>
      <c r="K25" s="133">
        <v>96485.22</v>
      </c>
      <c r="L25" s="173"/>
      <c r="M25" s="31">
        <v>-47.359999999869615</v>
      </c>
      <c r="N25" s="291"/>
      <c r="O25" s="229">
        <v>591270</v>
      </c>
      <c r="P25" s="240">
        <v>1285370</v>
      </c>
      <c r="Q25" s="249">
        <f t="shared" si="35"/>
        <v>2315650</v>
      </c>
      <c r="R25" s="240">
        <v>566730</v>
      </c>
      <c r="S25" s="240">
        <v>579000</v>
      </c>
      <c r="T25" s="242">
        <f>139640+219500+219510</f>
        <v>578650</v>
      </c>
      <c r="U25" s="311">
        <v>192970.44</v>
      </c>
      <c r="V25" s="312"/>
      <c r="W25" s="313"/>
      <c r="X25" s="311">
        <v>192970.44</v>
      </c>
      <c r="Y25" s="312"/>
      <c r="Z25" s="313"/>
      <c r="AA25" s="311">
        <v>192970.44</v>
      </c>
      <c r="AB25" s="312"/>
      <c r="AC25" s="313"/>
      <c r="AD25" s="104">
        <f t="shared" si="36"/>
        <v>578911.3200000001</v>
      </c>
      <c r="AE25" s="105">
        <f t="shared" si="36"/>
        <v>0</v>
      </c>
      <c r="AF25" s="449">
        <f t="shared" si="36"/>
        <v>0</v>
      </c>
      <c r="AG25" s="311">
        <v>192970.44</v>
      </c>
      <c r="AH25" s="312"/>
      <c r="AI25" s="313"/>
      <c r="AJ25" s="311">
        <v>192970.44</v>
      </c>
      <c r="AK25" s="312"/>
      <c r="AL25" s="314"/>
      <c r="AM25" s="311">
        <v>192970.44</v>
      </c>
      <c r="AN25" s="312"/>
      <c r="AO25" s="314"/>
      <c r="AP25" s="267">
        <f t="shared" si="37"/>
        <v>578911.3200000001</v>
      </c>
      <c r="AQ25" s="268">
        <f t="shared" si="37"/>
        <v>0</v>
      </c>
      <c r="AR25" s="482">
        <f t="shared" si="37"/>
        <v>0</v>
      </c>
      <c r="AS25" s="311">
        <v>192970.44</v>
      </c>
      <c r="AT25" s="314"/>
      <c r="AU25" s="356"/>
      <c r="AV25" s="311">
        <v>192970.44</v>
      </c>
      <c r="AW25" s="312"/>
      <c r="AX25" s="314"/>
      <c r="AY25" s="311">
        <v>192970.44</v>
      </c>
      <c r="AZ25" s="312"/>
      <c r="BA25" s="314"/>
      <c r="BB25" s="267">
        <f t="shared" si="38"/>
        <v>578911.3200000001</v>
      </c>
      <c r="BC25" s="268">
        <f t="shared" si="38"/>
        <v>0</v>
      </c>
      <c r="BD25" s="462">
        <f t="shared" si="38"/>
        <v>0</v>
      </c>
      <c r="BE25" s="311">
        <v>192970.44</v>
      </c>
      <c r="BF25" s="312"/>
      <c r="BG25" s="314"/>
      <c r="BH25" s="311">
        <v>192970.44</v>
      </c>
      <c r="BI25" s="312"/>
      <c r="BJ25" s="314"/>
      <c r="BK25" s="311"/>
      <c r="BL25" s="312"/>
      <c r="BM25" s="313"/>
      <c r="BN25" s="311">
        <f t="shared" si="39"/>
        <v>385940.88</v>
      </c>
      <c r="BO25" s="312">
        <f t="shared" si="39"/>
        <v>0</v>
      </c>
      <c r="BP25" s="313">
        <f t="shared" si="39"/>
        <v>0</v>
      </c>
      <c r="BQ25" s="360">
        <v>2508615.72</v>
      </c>
      <c r="BR25" s="361">
        <v>0</v>
      </c>
      <c r="BS25" s="419">
        <v>0</v>
      </c>
      <c r="BT25" s="485"/>
      <c r="BU25" s="356">
        <v>-192965.72</v>
      </c>
      <c r="BV25" s="32"/>
      <c r="BW25" s="403"/>
      <c r="BX25" s="469">
        <v>-12358.679999999935</v>
      </c>
      <c r="BY25" s="489">
        <f>BQ25-BZ25</f>
        <v>771615.7200000002</v>
      </c>
      <c r="BZ25" s="529">
        <f t="shared" si="40"/>
        <v>1737000</v>
      </c>
      <c r="CA25" s="133">
        <v>209051.31</v>
      </c>
      <c r="CB25" s="476">
        <v>0</v>
      </c>
      <c r="CC25" s="206">
        <v>193000</v>
      </c>
      <c r="CD25" s="206">
        <v>193000</v>
      </c>
    </row>
    <row r="26" spans="1:82" s="1" customFormat="1" ht="15.75" customHeight="1" thickBot="1">
      <c r="A26" s="718"/>
      <c r="B26" s="25" t="s">
        <v>41</v>
      </c>
      <c r="C26" s="82">
        <f>1510+22950+2420-9260+5030</f>
        <v>22650</v>
      </c>
      <c r="D26" s="49"/>
      <c r="E26" s="104">
        <v>22644.9</v>
      </c>
      <c r="F26" s="105">
        <v>0</v>
      </c>
      <c r="G26" s="146">
        <v>0</v>
      </c>
      <c r="H26" s="137"/>
      <c r="I26" s="201">
        <v>5.100000000002183</v>
      </c>
      <c r="J26" s="389"/>
      <c r="K26" s="133">
        <v>1887.075</v>
      </c>
      <c r="L26" s="173"/>
      <c r="M26" s="199">
        <v>-5.100000000002183</v>
      </c>
      <c r="N26" s="291"/>
      <c r="O26" s="229">
        <v>7560</v>
      </c>
      <c r="P26" s="240">
        <f>10660+2720</f>
        <v>13380</v>
      </c>
      <c r="Q26" s="249">
        <f t="shared" si="35"/>
        <v>32000</v>
      </c>
      <c r="R26" s="240">
        <v>7560</v>
      </c>
      <c r="S26" s="240">
        <f>3100+250</f>
        <v>3350</v>
      </c>
      <c r="T26" s="242">
        <f>4020+4010+5500</f>
        <v>13530</v>
      </c>
      <c r="U26" s="311">
        <v>2516.1</v>
      </c>
      <c r="V26" s="312"/>
      <c r="W26" s="313"/>
      <c r="X26" s="311"/>
      <c r="Y26" s="312"/>
      <c r="Z26" s="313"/>
      <c r="AA26" s="311">
        <v>2516.1</v>
      </c>
      <c r="AB26" s="312"/>
      <c r="AC26" s="313"/>
      <c r="AD26" s="104">
        <f t="shared" si="36"/>
        <v>5032.2</v>
      </c>
      <c r="AE26" s="105">
        <f t="shared" si="36"/>
        <v>0</v>
      </c>
      <c r="AF26" s="449">
        <f t="shared" si="36"/>
        <v>0</v>
      </c>
      <c r="AG26" s="311">
        <v>2683.08</v>
      </c>
      <c r="AH26" s="312"/>
      <c r="AI26" s="313"/>
      <c r="AJ26" s="311">
        <v>2683.08</v>
      </c>
      <c r="AK26" s="312"/>
      <c r="AL26" s="314"/>
      <c r="AM26" s="311">
        <v>0</v>
      </c>
      <c r="AN26" s="312"/>
      <c r="AO26" s="314"/>
      <c r="AP26" s="267">
        <f t="shared" si="37"/>
        <v>5366.16</v>
      </c>
      <c r="AQ26" s="268">
        <f t="shared" si="37"/>
        <v>0</v>
      </c>
      <c r="AR26" s="482">
        <f t="shared" si="37"/>
        <v>0</v>
      </c>
      <c r="AS26" s="311">
        <v>2683.08</v>
      </c>
      <c r="AT26" s="314"/>
      <c r="AU26" s="356"/>
      <c r="AV26" s="311">
        <v>2683.08</v>
      </c>
      <c r="AW26" s="312"/>
      <c r="AX26" s="314"/>
      <c r="AY26" s="311"/>
      <c r="AZ26" s="312"/>
      <c r="BA26" s="314"/>
      <c r="BB26" s="267">
        <f t="shared" si="38"/>
        <v>5366.16</v>
      </c>
      <c r="BC26" s="268">
        <f t="shared" si="38"/>
        <v>0</v>
      </c>
      <c r="BD26" s="462">
        <f t="shared" si="38"/>
        <v>0</v>
      </c>
      <c r="BE26" s="311">
        <v>5407.91</v>
      </c>
      <c r="BF26" s="312"/>
      <c r="BG26" s="314"/>
      <c r="BH26" s="311">
        <v>2683.08</v>
      </c>
      <c r="BI26" s="312"/>
      <c r="BJ26" s="314"/>
      <c r="BK26" s="311"/>
      <c r="BL26" s="312"/>
      <c r="BM26" s="313"/>
      <c r="BN26" s="311">
        <f t="shared" si="39"/>
        <v>8090.99</v>
      </c>
      <c r="BO26" s="312">
        <f t="shared" si="39"/>
        <v>0</v>
      </c>
      <c r="BP26" s="313">
        <f t="shared" si="39"/>
        <v>0</v>
      </c>
      <c r="BQ26" s="360">
        <v>23855.51</v>
      </c>
      <c r="BR26" s="361">
        <v>0</v>
      </c>
      <c r="BS26" s="419">
        <v>0</v>
      </c>
      <c r="BT26" s="485"/>
      <c r="BU26" s="356">
        <v>8144.49</v>
      </c>
      <c r="BV26" s="32"/>
      <c r="BW26" s="403"/>
      <c r="BX26" s="469">
        <v>-2527.8</v>
      </c>
      <c r="BY26" s="489">
        <f>BQ26-BZ26</f>
        <v>5385.509999999998</v>
      </c>
      <c r="BZ26" s="529">
        <f t="shared" si="40"/>
        <v>18470</v>
      </c>
      <c r="CA26" s="133">
        <v>1987.9591666666668</v>
      </c>
      <c r="CB26" s="476">
        <v>0</v>
      </c>
      <c r="CC26" s="206">
        <v>3000</v>
      </c>
      <c r="CD26" s="206">
        <v>3000</v>
      </c>
    </row>
    <row r="27" spans="1:82" s="1" customFormat="1" ht="21.75" customHeight="1" thickBot="1">
      <c r="A27" s="717"/>
      <c r="B27" s="24" t="s">
        <v>15</v>
      </c>
      <c r="C27" s="83">
        <f>286810+34430+25500+28650-4150-5030</f>
        <v>366210</v>
      </c>
      <c r="D27" s="50"/>
      <c r="E27" s="104">
        <v>376227.37</v>
      </c>
      <c r="F27" s="105">
        <v>0</v>
      </c>
      <c r="G27" s="146">
        <v>0</v>
      </c>
      <c r="H27" s="137"/>
      <c r="I27" s="191">
        <v>-10017.37</v>
      </c>
      <c r="J27" s="389"/>
      <c r="K27" s="133">
        <v>31352.280833333334</v>
      </c>
      <c r="L27" s="182"/>
      <c r="M27" s="195">
        <v>10017.37</v>
      </c>
      <c r="N27" s="291">
        <v>10017.37</v>
      </c>
      <c r="O27" s="233">
        <v>96000</v>
      </c>
      <c r="P27" s="243">
        <f>204830+2890</f>
        <v>207720</v>
      </c>
      <c r="Q27" s="249">
        <f t="shared" si="35"/>
        <v>354500</v>
      </c>
      <c r="R27" s="243">
        <v>96000</v>
      </c>
      <c r="S27" s="243">
        <f>96000-19000</f>
        <v>77000</v>
      </c>
      <c r="T27" s="242">
        <f>12830+39090+39080-5500</f>
        <v>85500</v>
      </c>
      <c r="U27" s="311">
        <v>27650.41</v>
      </c>
      <c r="V27" s="312"/>
      <c r="W27" s="313"/>
      <c r="X27" s="311">
        <v>22648.24</v>
      </c>
      <c r="Y27" s="312"/>
      <c r="Z27" s="313"/>
      <c r="AA27" s="311">
        <v>45108.78</v>
      </c>
      <c r="AB27" s="312"/>
      <c r="AC27" s="313"/>
      <c r="AD27" s="104">
        <f t="shared" si="36"/>
        <v>95407.43</v>
      </c>
      <c r="AE27" s="105">
        <f t="shared" si="36"/>
        <v>0</v>
      </c>
      <c r="AF27" s="449">
        <f t="shared" si="36"/>
        <v>0</v>
      </c>
      <c r="AG27" s="311">
        <v>24668.19</v>
      </c>
      <c r="AH27" s="312"/>
      <c r="AI27" s="313"/>
      <c r="AJ27" s="311">
        <v>24971.4</v>
      </c>
      <c r="AK27" s="312"/>
      <c r="AL27" s="314"/>
      <c r="AM27" s="311">
        <v>17919.26</v>
      </c>
      <c r="AN27" s="312"/>
      <c r="AO27" s="314"/>
      <c r="AP27" s="267">
        <f t="shared" si="37"/>
        <v>67558.84999999999</v>
      </c>
      <c r="AQ27" s="268">
        <f t="shared" si="37"/>
        <v>0</v>
      </c>
      <c r="AR27" s="482">
        <f t="shared" si="37"/>
        <v>0</v>
      </c>
      <c r="AS27" s="311">
        <v>32398.51</v>
      </c>
      <c r="AT27" s="314"/>
      <c r="AU27" s="356"/>
      <c r="AV27" s="311">
        <v>30801.62</v>
      </c>
      <c r="AW27" s="312"/>
      <c r="AX27" s="314"/>
      <c r="AY27" s="311">
        <v>31659.76</v>
      </c>
      <c r="AZ27" s="312"/>
      <c r="BA27" s="314"/>
      <c r="BB27" s="267">
        <f t="shared" si="38"/>
        <v>94859.89</v>
      </c>
      <c r="BC27" s="268">
        <f t="shared" si="38"/>
        <v>0</v>
      </c>
      <c r="BD27" s="462">
        <f t="shared" si="38"/>
        <v>0</v>
      </c>
      <c r="BE27" s="311">
        <v>28252.45</v>
      </c>
      <c r="BF27" s="312"/>
      <c r="BG27" s="314"/>
      <c r="BH27" s="311">
        <v>20483.87</v>
      </c>
      <c r="BI27" s="312"/>
      <c r="BJ27" s="314"/>
      <c r="BK27" s="311"/>
      <c r="BL27" s="312"/>
      <c r="BM27" s="313"/>
      <c r="BN27" s="311">
        <f t="shared" si="39"/>
        <v>48736.32</v>
      </c>
      <c r="BO27" s="312">
        <f t="shared" si="39"/>
        <v>0</v>
      </c>
      <c r="BP27" s="313">
        <f t="shared" si="39"/>
        <v>0</v>
      </c>
      <c r="BQ27" s="360">
        <v>344020.34</v>
      </c>
      <c r="BR27" s="361">
        <v>0</v>
      </c>
      <c r="BS27" s="419">
        <v>0</v>
      </c>
      <c r="BT27" s="485"/>
      <c r="BU27" s="356">
        <v>10479.66</v>
      </c>
      <c r="BV27" s="32"/>
      <c r="BW27" s="403">
        <v>10017.37</v>
      </c>
      <c r="BX27" s="469">
        <v>-592.570000000007</v>
      </c>
      <c r="BY27" s="489">
        <f>BQ27+BW27-BZ27</f>
        <v>85037.71000000002</v>
      </c>
      <c r="BZ27" s="529">
        <f t="shared" si="40"/>
        <v>269000</v>
      </c>
      <c r="CA27" s="133">
        <v>28668.361666666664</v>
      </c>
      <c r="CB27" s="476">
        <v>0</v>
      </c>
      <c r="CC27" s="210">
        <v>30000</v>
      </c>
      <c r="CD27" s="210">
        <v>30000</v>
      </c>
    </row>
    <row r="28" spans="1:82" s="1" customFormat="1" ht="19.5" customHeight="1" thickBot="1">
      <c r="A28" s="723" t="s">
        <v>16</v>
      </c>
      <c r="B28" s="724"/>
      <c r="C28" s="84">
        <f>SUM(C22:C27)</f>
        <v>2709490</v>
      </c>
      <c r="D28" s="4">
        <f>SUM(D22:D27)</f>
        <v>238686.46</v>
      </c>
      <c r="E28" s="72">
        <v>2872812.7</v>
      </c>
      <c r="F28" s="72">
        <v>1050220.4</v>
      </c>
      <c r="G28" s="150">
        <v>1193446.16</v>
      </c>
      <c r="H28" s="64">
        <v>1669.6000000000931</v>
      </c>
      <c r="I28" s="8">
        <v>-21780.430000000113</v>
      </c>
      <c r="J28" s="392"/>
      <c r="K28" s="133">
        <v>239401.05833333332</v>
      </c>
      <c r="L28" s="180"/>
      <c r="M28" s="198">
        <v>20110.83</v>
      </c>
      <c r="N28" s="292">
        <f>N24+N27</f>
        <v>24042.75</v>
      </c>
      <c r="O28" s="231">
        <f aca="true" t="shared" si="41" ref="O28:AT28">O22+O23+O24+O25+O26+O27</f>
        <v>1028940</v>
      </c>
      <c r="P28" s="231">
        <f t="shared" si="41"/>
        <v>2189430</v>
      </c>
      <c r="Q28" s="378">
        <f t="shared" si="41"/>
        <v>4130290</v>
      </c>
      <c r="R28" s="348">
        <f t="shared" si="41"/>
        <v>987890</v>
      </c>
      <c r="S28" s="348">
        <f t="shared" si="41"/>
        <v>965200</v>
      </c>
      <c r="T28" s="348">
        <f t="shared" si="41"/>
        <v>1148260</v>
      </c>
      <c r="U28" s="365">
        <f t="shared" si="41"/>
        <v>320686.17999999993</v>
      </c>
      <c r="V28" s="365">
        <f t="shared" si="41"/>
        <v>0</v>
      </c>
      <c r="W28" s="365">
        <f t="shared" si="41"/>
        <v>190939.69</v>
      </c>
      <c r="X28" s="365">
        <f t="shared" si="41"/>
        <v>314457.55</v>
      </c>
      <c r="Y28" s="365">
        <f t="shared" si="41"/>
        <v>274489.42</v>
      </c>
      <c r="Z28" s="365">
        <f t="shared" si="41"/>
        <v>9.47</v>
      </c>
      <c r="AA28" s="365">
        <f t="shared" si="41"/>
        <v>358276.12</v>
      </c>
      <c r="AB28" s="365">
        <f t="shared" si="41"/>
        <v>0</v>
      </c>
      <c r="AC28" s="423">
        <f t="shared" si="41"/>
        <v>0</v>
      </c>
      <c r="AD28" s="421">
        <f t="shared" si="41"/>
        <v>993419.8499999999</v>
      </c>
      <c r="AE28" s="421">
        <f t="shared" si="41"/>
        <v>274489.42</v>
      </c>
      <c r="AF28" s="452">
        <f t="shared" si="41"/>
        <v>190949.16</v>
      </c>
      <c r="AG28" s="423">
        <f t="shared" si="41"/>
        <v>317478.43000000005</v>
      </c>
      <c r="AH28" s="423">
        <f t="shared" si="41"/>
        <v>59671.61</v>
      </c>
      <c r="AI28" s="423">
        <f t="shared" si="41"/>
        <v>274477.68</v>
      </c>
      <c r="AJ28" s="423">
        <f t="shared" si="41"/>
        <v>342911.9</v>
      </c>
      <c r="AK28" s="423">
        <f t="shared" si="41"/>
        <v>143211.87</v>
      </c>
      <c r="AL28" s="423">
        <f t="shared" si="41"/>
        <v>11.74</v>
      </c>
      <c r="AM28" s="423">
        <f t="shared" si="41"/>
        <v>317477.28</v>
      </c>
      <c r="AN28" s="423">
        <f t="shared" si="41"/>
        <v>95474.58</v>
      </c>
      <c r="AO28" s="365">
        <f t="shared" si="41"/>
        <v>59671.61</v>
      </c>
      <c r="AP28" s="452">
        <f t="shared" si="41"/>
        <v>977867.6100000001</v>
      </c>
      <c r="AQ28" s="452">
        <f t="shared" si="41"/>
        <v>298358.06</v>
      </c>
      <c r="AR28" s="421">
        <f t="shared" si="41"/>
        <v>334161.02999999997</v>
      </c>
      <c r="AS28" s="423">
        <f t="shared" si="41"/>
        <v>349497.91000000003</v>
      </c>
      <c r="AT28" s="365">
        <f t="shared" si="41"/>
        <v>143211.87</v>
      </c>
      <c r="AU28" s="479">
        <f aca="true" t="shared" si="42" ref="AU28:BP28">AU22+AU23+AU24+AU25+AU26+AU27</f>
        <v>143211.87</v>
      </c>
      <c r="AV28" s="423">
        <f t="shared" si="42"/>
        <v>325714.53</v>
      </c>
      <c r="AW28" s="423">
        <f t="shared" si="42"/>
        <v>95474.58</v>
      </c>
      <c r="AX28" s="365">
        <f t="shared" si="42"/>
        <v>95473.7</v>
      </c>
      <c r="AY28" s="423">
        <f t="shared" si="42"/>
        <v>343993.14</v>
      </c>
      <c r="AZ28" s="423">
        <f t="shared" si="42"/>
        <v>47737.29</v>
      </c>
      <c r="BA28" s="365">
        <f t="shared" si="42"/>
        <v>143205.31</v>
      </c>
      <c r="BB28" s="365">
        <f t="shared" si="42"/>
        <v>1019205.5800000001</v>
      </c>
      <c r="BC28" s="365">
        <f t="shared" si="42"/>
        <v>286423.74</v>
      </c>
      <c r="BD28" s="365">
        <f t="shared" si="42"/>
        <v>381890.88</v>
      </c>
      <c r="BE28" s="365">
        <f t="shared" si="42"/>
        <v>348076.69999999995</v>
      </c>
      <c r="BF28" s="365">
        <f t="shared" si="42"/>
        <v>95474.58</v>
      </c>
      <c r="BG28" s="365">
        <f t="shared" si="42"/>
        <v>95470.05</v>
      </c>
      <c r="BH28" s="365">
        <f t="shared" si="42"/>
        <v>315396.79000000004</v>
      </c>
      <c r="BI28" s="365">
        <f t="shared" si="42"/>
        <v>143211.87</v>
      </c>
      <c r="BJ28" s="365">
        <f t="shared" si="42"/>
        <v>47749.26</v>
      </c>
      <c r="BK28" s="365">
        <f t="shared" si="42"/>
        <v>0</v>
      </c>
      <c r="BL28" s="365">
        <f t="shared" si="42"/>
        <v>0</v>
      </c>
      <c r="BM28" s="423">
        <f t="shared" si="42"/>
        <v>0</v>
      </c>
      <c r="BN28" s="423">
        <f t="shared" si="42"/>
        <v>663473.4899999999</v>
      </c>
      <c r="BO28" s="423">
        <f t="shared" si="42"/>
        <v>238686.45</v>
      </c>
      <c r="BP28" s="423">
        <f t="shared" si="42"/>
        <v>143219.31</v>
      </c>
      <c r="BQ28" s="423">
        <v>4186974.56</v>
      </c>
      <c r="BR28" s="423">
        <v>1241169.54</v>
      </c>
      <c r="BS28" s="365">
        <v>1050232.56</v>
      </c>
      <c r="BT28" s="411">
        <v>59690.46</v>
      </c>
      <c r="BU28" s="365">
        <v>-152177.99</v>
      </c>
      <c r="BV28" s="365">
        <v>131277.55</v>
      </c>
      <c r="BW28" s="404">
        <f>BW24+BW27</f>
        <v>24042.75</v>
      </c>
      <c r="BX28" s="470">
        <v>-47454.47</v>
      </c>
      <c r="BY28" s="470">
        <f>BY22+BY23+BY24+BY25+BY26+BY27</f>
        <v>1264790.2800000003</v>
      </c>
      <c r="BZ28" s="529">
        <f t="shared" si="40"/>
        <v>2982030</v>
      </c>
      <c r="CA28" s="133">
        <v>348914.54666666663</v>
      </c>
      <c r="CB28" s="476"/>
      <c r="CC28" s="208">
        <f>CC22+CC23+CC24+CC25+CC26+CC27</f>
        <v>344000</v>
      </c>
      <c r="CD28" s="208">
        <f>CD22+CD23+CD24+CD25+CD26+CD27</f>
        <v>344000</v>
      </c>
    </row>
    <row r="29" spans="1:82" s="1" customFormat="1" ht="17.25" customHeight="1">
      <c r="A29" s="716" t="s">
        <v>17</v>
      </c>
      <c r="B29" s="7" t="s">
        <v>24</v>
      </c>
      <c r="C29" s="81">
        <v>0</v>
      </c>
      <c r="D29" s="51"/>
      <c r="E29" s="104">
        <v>0</v>
      </c>
      <c r="F29" s="105">
        <v>0</v>
      </c>
      <c r="G29" s="146">
        <v>8403.31</v>
      </c>
      <c r="H29" s="137"/>
      <c r="I29" s="98">
        <v>0</v>
      </c>
      <c r="J29" s="389"/>
      <c r="K29" s="133">
        <v>0</v>
      </c>
      <c r="L29" s="176"/>
      <c r="M29" s="171"/>
      <c r="N29" s="291"/>
      <c r="O29" s="232"/>
      <c r="P29" s="242"/>
      <c r="Q29" s="249">
        <f>O29+P29</f>
        <v>0</v>
      </c>
      <c r="R29" s="242"/>
      <c r="S29" s="242"/>
      <c r="T29" s="242"/>
      <c r="U29" s="311"/>
      <c r="V29" s="312"/>
      <c r="W29" s="313"/>
      <c r="X29" s="311"/>
      <c r="Y29" s="312"/>
      <c r="Z29" s="313"/>
      <c r="AA29" s="311"/>
      <c r="AB29" s="312"/>
      <c r="AC29" s="313"/>
      <c r="AD29" s="104">
        <f aca="true" t="shared" si="43" ref="AD29:AF31">U29+X29+AA29</f>
        <v>0</v>
      </c>
      <c r="AE29" s="105">
        <f t="shared" si="43"/>
        <v>0</v>
      </c>
      <c r="AF29" s="449">
        <f t="shared" si="43"/>
        <v>0</v>
      </c>
      <c r="AG29" s="311"/>
      <c r="AH29" s="312"/>
      <c r="AI29" s="313"/>
      <c r="AJ29" s="311"/>
      <c r="AK29" s="312"/>
      <c r="AL29" s="314"/>
      <c r="AM29" s="311"/>
      <c r="AN29" s="312"/>
      <c r="AO29" s="314"/>
      <c r="AP29" s="267">
        <f aca="true" t="shared" si="44" ref="AP29:AR31">AG29+AJ29+AM29</f>
        <v>0</v>
      </c>
      <c r="AQ29" s="268">
        <f t="shared" si="44"/>
        <v>0</v>
      </c>
      <c r="AR29" s="482">
        <f t="shared" si="44"/>
        <v>0</v>
      </c>
      <c r="AS29" s="311"/>
      <c r="AT29" s="314"/>
      <c r="AU29" s="356"/>
      <c r="AV29" s="311"/>
      <c r="AW29" s="312"/>
      <c r="AX29" s="314"/>
      <c r="AY29" s="311"/>
      <c r="AZ29" s="312"/>
      <c r="BA29" s="314"/>
      <c r="BB29" s="267">
        <f aca="true" t="shared" si="45" ref="BB29:BD31">AS29+AV29+AY29</f>
        <v>0</v>
      </c>
      <c r="BC29" s="268">
        <f t="shared" si="45"/>
        <v>0</v>
      </c>
      <c r="BD29" s="462">
        <f t="shared" si="45"/>
        <v>0</v>
      </c>
      <c r="BE29" s="311"/>
      <c r="BF29" s="312"/>
      <c r="BG29" s="314"/>
      <c r="BH29" s="311"/>
      <c r="BI29" s="312"/>
      <c r="BJ29" s="314"/>
      <c r="BK29" s="311"/>
      <c r="BL29" s="312"/>
      <c r="BM29" s="313"/>
      <c r="BN29" s="311">
        <f aca="true" t="shared" si="46" ref="BN29:BP31">BE29+BH29+BK29</f>
        <v>0</v>
      </c>
      <c r="BO29" s="312">
        <f t="shared" si="46"/>
        <v>0</v>
      </c>
      <c r="BP29" s="313">
        <f t="shared" si="46"/>
        <v>0</v>
      </c>
      <c r="BQ29" s="360">
        <v>0</v>
      </c>
      <c r="BR29" s="361">
        <v>0</v>
      </c>
      <c r="BS29" s="419">
        <v>0</v>
      </c>
      <c r="BT29" s="485"/>
      <c r="BU29" s="356"/>
      <c r="BV29" s="32"/>
      <c r="BW29" s="403"/>
      <c r="BX29" s="472"/>
      <c r="BY29" s="490"/>
      <c r="BZ29" s="529">
        <f t="shared" si="40"/>
        <v>0</v>
      </c>
      <c r="CA29" s="133">
        <v>0</v>
      </c>
      <c r="CB29" s="476"/>
      <c r="CC29" s="209"/>
      <c r="CD29" s="209"/>
    </row>
    <row r="30" spans="1:82" s="1" customFormat="1" ht="17.25" customHeight="1">
      <c r="A30" s="718"/>
      <c r="B30" s="7" t="s">
        <v>23</v>
      </c>
      <c r="C30" s="81">
        <f>87350+6000</f>
        <v>93350</v>
      </c>
      <c r="D30" s="51">
        <v>10949.92</v>
      </c>
      <c r="E30" s="104">
        <v>86017.53</v>
      </c>
      <c r="F30" s="105">
        <v>93305.1</v>
      </c>
      <c r="G30" s="146">
        <v>73094.1</v>
      </c>
      <c r="H30" s="137">
        <v>44.89999999999418</v>
      </c>
      <c r="I30" s="98"/>
      <c r="J30" s="389">
        <v>18238.76</v>
      </c>
      <c r="K30" s="133">
        <v>7168.1275</v>
      </c>
      <c r="L30" s="176"/>
      <c r="M30" s="32">
        <v>-44.89999999999418</v>
      </c>
      <c r="N30" s="291"/>
      <c r="O30" s="229">
        <v>22250</v>
      </c>
      <c r="P30" s="240">
        <v>40050</v>
      </c>
      <c r="Q30" s="247">
        <f aca="true" t="shared" si="47" ref="Q30:Q37">O30+R30+S30+T30</f>
        <v>77800</v>
      </c>
      <c r="R30" s="240">
        <v>22750</v>
      </c>
      <c r="S30" s="240">
        <f>17300+3600</f>
        <v>20900</v>
      </c>
      <c r="T30" s="240">
        <v>11900</v>
      </c>
      <c r="U30" s="311">
        <v>10247.29</v>
      </c>
      <c r="V30" s="312"/>
      <c r="W30" s="313">
        <v>8163.67</v>
      </c>
      <c r="X30" s="311">
        <v>9251.99</v>
      </c>
      <c r="Y30" s="312">
        <v>6227.71</v>
      </c>
      <c r="Z30" s="313">
        <v>12026.73</v>
      </c>
      <c r="AA30" s="311">
        <v>4589.23</v>
      </c>
      <c r="AB30" s="312">
        <v>1085.53</v>
      </c>
      <c r="AC30" s="313"/>
      <c r="AD30" s="104">
        <f t="shared" si="43"/>
        <v>24088.51</v>
      </c>
      <c r="AE30" s="105">
        <f t="shared" si="43"/>
        <v>7313.24</v>
      </c>
      <c r="AF30" s="449">
        <f t="shared" si="43"/>
        <v>20190.4</v>
      </c>
      <c r="AG30" s="311">
        <v>7757.49</v>
      </c>
      <c r="AH30" s="312">
        <v>7741.79</v>
      </c>
      <c r="AI30" s="313">
        <v>6227.71</v>
      </c>
      <c r="AJ30" s="311">
        <v>13522.63</v>
      </c>
      <c r="AK30" s="312">
        <v>18550.14</v>
      </c>
      <c r="AL30" s="314">
        <v>1085.53</v>
      </c>
      <c r="AM30" s="311">
        <v>5758.43</v>
      </c>
      <c r="AN30" s="312">
        <v>10250.29</v>
      </c>
      <c r="AO30" s="314">
        <v>7741.79</v>
      </c>
      <c r="AP30" s="267">
        <f t="shared" si="44"/>
        <v>27038.55</v>
      </c>
      <c r="AQ30" s="268">
        <f t="shared" si="44"/>
        <v>36542.22</v>
      </c>
      <c r="AR30" s="482">
        <f t="shared" si="44"/>
        <v>15055.029999999999</v>
      </c>
      <c r="AS30" s="311">
        <v>6277.01</v>
      </c>
      <c r="AT30" s="314">
        <v>8827.05</v>
      </c>
      <c r="AU30" s="356">
        <v>18550.14</v>
      </c>
      <c r="AV30" s="311">
        <v>9269.77</v>
      </c>
      <c r="AW30" s="312"/>
      <c r="AX30" s="314">
        <v>10250.29</v>
      </c>
      <c r="AY30" s="311">
        <v>3861.42</v>
      </c>
      <c r="AZ30" s="312"/>
      <c r="BA30" s="314">
        <v>8827.05</v>
      </c>
      <c r="BB30" s="267">
        <f t="shared" si="45"/>
        <v>19408.2</v>
      </c>
      <c r="BC30" s="268">
        <f t="shared" si="45"/>
        <v>8827.05</v>
      </c>
      <c r="BD30" s="462">
        <f t="shared" si="45"/>
        <v>37627.479999999996</v>
      </c>
      <c r="BE30" s="311">
        <v>8109.4</v>
      </c>
      <c r="BF30" s="312">
        <v>21270.59</v>
      </c>
      <c r="BG30" s="314"/>
      <c r="BH30" s="311">
        <v>7778.46</v>
      </c>
      <c r="BI30" s="312">
        <v>3841.96</v>
      </c>
      <c r="BJ30" s="314"/>
      <c r="BK30" s="311"/>
      <c r="BL30" s="312"/>
      <c r="BM30" s="313"/>
      <c r="BN30" s="311">
        <f t="shared" si="46"/>
        <v>15887.86</v>
      </c>
      <c r="BO30" s="312">
        <f t="shared" si="46"/>
        <v>25112.55</v>
      </c>
      <c r="BP30" s="313">
        <f t="shared" si="46"/>
        <v>0</v>
      </c>
      <c r="BQ30" s="360">
        <v>90876.63</v>
      </c>
      <c r="BR30" s="361">
        <v>77795.06</v>
      </c>
      <c r="BS30" s="419">
        <v>72878.83</v>
      </c>
      <c r="BT30" s="485">
        <v>4.940000000002328</v>
      </c>
      <c r="BU30" s="356"/>
      <c r="BV30" s="32">
        <v>5157.189999999988</v>
      </c>
      <c r="BW30" s="403"/>
      <c r="BX30" s="469">
        <v>-14936.76</v>
      </c>
      <c r="BY30" s="489">
        <f>BR30-BZ30</f>
        <v>11895.059999999998</v>
      </c>
      <c r="BZ30" s="529">
        <f t="shared" si="40"/>
        <v>65900</v>
      </c>
      <c r="CA30" s="133">
        <v>7573.052500000001</v>
      </c>
      <c r="CB30" s="476">
        <v>8000</v>
      </c>
      <c r="CC30" s="206">
        <v>7000</v>
      </c>
      <c r="CD30" s="206">
        <v>6000</v>
      </c>
    </row>
    <row r="31" spans="1:82" s="1" customFormat="1" ht="17.25" customHeight="1" thickBot="1">
      <c r="A31" s="718"/>
      <c r="B31" s="22" t="s">
        <v>25</v>
      </c>
      <c r="C31" s="83">
        <v>470</v>
      </c>
      <c r="D31" s="52">
        <v>171.97</v>
      </c>
      <c r="E31" s="104">
        <v>484.59</v>
      </c>
      <c r="F31" s="105">
        <v>402</v>
      </c>
      <c r="G31" s="146">
        <v>285.71</v>
      </c>
      <c r="H31" s="137">
        <v>68</v>
      </c>
      <c r="I31" s="98"/>
      <c r="J31" s="389">
        <v>89.37</v>
      </c>
      <c r="K31" s="133">
        <v>40.3825</v>
      </c>
      <c r="L31" s="177"/>
      <c r="M31" s="38">
        <v>-68</v>
      </c>
      <c r="N31" s="291"/>
      <c r="O31" s="233">
        <v>120</v>
      </c>
      <c r="P31" s="240">
        <v>220</v>
      </c>
      <c r="Q31" s="247">
        <f t="shared" si="47"/>
        <v>340</v>
      </c>
      <c r="R31" s="240">
        <v>120</v>
      </c>
      <c r="S31" s="240">
        <v>100</v>
      </c>
      <c r="T31" s="240">
        <v>0</v>
      </c>
      <c r="U31" s="311">
        <v>62.66</v>
      </c>
      <c r="V31" s="312"/>
      <c r="W31" s="313"/>
      <c r="X31" s="311">
        <v>44.92</v>
      </c>
      <c r="Y31" s="312">
        <v>39.48</v>
      </c>
      <c r="Z31" s="313"/>
      <c r="AA31" s="311">
        <v>18.03</v>
      </c>
      <c r="AB31" s="312"/>
      <c r="AC31" s="313"/>
      <c r="AD31" s="104">
        <f t="shared" si="43"/>
        <v>125.61</v>
      </c>
      <c r="AE31" s="105">
        <f t="shared" si="43"/>
        <v>39.48</v>
      </c>
      <c r="AF31" s="449">
        <f t="shared" si="43"/>
        <v>0</v>
      </c>
      <c r="AG31" s="311">
        <v>1.5</v>
      </c>
      <c r="AH31" s="312"/>
      <c r="AI31" s="313">
        <v>39.48</v>
      </c>
      <c r="AJ31" s="311"/>
      <c r="AK31" s="312"/>
      <c r="AL31" s="314"/>
      <c r="AM31" s="311"/>
      <c r="AN31" s="312"/>
      <c r="AO31" s="314"/>
      <c r="AP31" s="458">
        <f t="shared" si="44"/>
        <v>1.5</v>
      </c>
      <c r="AQ31" s="459">
        <f t="shared" si="44"/>
        <v>0</v>
      </c>
      <c r="AR31" s="483">
        <f t="shared" si="44"/>
        <v>39.48</v>
      </c>
      <c r="AS31" s="311">
        <v>68.91</v>
      </c>
      <c r="AT31" s="314">
        <v>251.69</v>
      </c>
      <c r="AU31" s="356"/>
      <c r="AV31" s="311">
        <v>37.1</v>
      </c>
      <c r="AW31" s="312"/>
      <c r="AX31" s="314"/>
      <c r="AY31" s="311">
        <v>46.36</v>
      </c>
      <c r="AZ31" s="312"/>
      <c r="BA31" s="314">
        <v>251.69</v>
      </c>
      <c r="BB31" s="458">
        <f t="shared" si="45"/>
        <v>152.37</v>
      </c>
      <c r="BC31" s="459">
        <f t="shared" si="45"/>
        <v>251.69</v>
      </c>
      <c r="BD31" s="463">
        <f t="shared" si="45"/>
        <v>251.69</v>
      </c>
      <c r="BE31" s="311">
        <v>57.05</v>
      </c>
      <c r="BF31" s="312">
        <v>33.79</v>
      </c>
      <c r="BG31" s="314"/>
      <c r="BH31" s="311">
        <v>26.71</v>
      </c>
      <c r="BI31" s="312"/>
      <c r="BJ31" s="314"/>
      <c r="BK31" s="311"/>
      <c r="BL31" s="312"/>
      <c r="BM31" s="313"/>
      <c r="BN31" s="311">
        <f t="shared" si="46"/>
        <v>83.75999999999999</v>
      </c>
      <c r="BO31" s="312">
        <f t="shared" si="46"/>
        <v>33.79</v>
      </c>
      <c r="BP31" s="313">
        <f t="shared" si="46"/>
        <v>0</v>
      </c>
      <c r="BQ31" s="360">
        <v>400.92</v>
      </c>
      <c r="BR31" s="361">
        <v>324.96</v>
      </c>
      <c r="BS31" s="419">
        <v>291.17</v>
      </c>
      <c r="BT31" s="485">
        <v>15.04</v>
      </c>
      <c r="BU31" s="356"/>
      <c r="BV31" s="32">
        <v>13.41</v>
      </c>
      <c r="BW31" s="403"/>
      <c r="BX31" s="469">
        <v>-80.52</v>
      </c>
      <c r="BY31" s="489">
        <f>BR31-BZ31</f>
        <v>-15.04000000000002</v>
      </c>
      <c r="BZ31" s="529">
        <f t="shared" si="40"/>
        <v>340</v>
      </c>
      <c r="CA31" s="133">
        <v>33.41</v>
      </c>
      <c r="CB31" s="476">
        <v>50</v>
      </c>
      <c r="CC31" s="206">
        <v>1000</v>
      </c>
      <c r="CD31" s="206">
        <v>0</v>
      </c>
    </row>
    <row r="32" spans="1:82" s="1" customFormat="1" ht="19.5" customHeight="1" thickBot="1">
      <c r="A32" s="719" t="s">
        <v>18</v>
      </c>
      <c r="B32" s="720"/>
      <c r="C32" s="84">
        <f>C29+C30+C31</f>
        <v>93820</v>
      </c>
      <c r="D32" s="56">
        <f>D30+D31</f>
        <v>11121.89</v>
      </c>
      <c r="E32" s="70">
        <v>86502.12</v>
      </c>
      <c r="F32" s="70">
        <v>93707.1</v>
      </c>
      <c r="G32" s="148">
        <v>81783.12</v>
      </c>
      <c r="H32" s="62">
        <v>112.89999999999418</v>
      </c>
      <c r="I32" s="65">
        <v>0</v>
      </c>
      <c r="J32" s="390">
        <f>J30+J31</f>
        <v>18328.129999999997</v>
      </c>
      <c r="K32" s="133">
        <v>7208.51</v>
      </c>
      <c r="L32" s="183"/>
      <c r="M32" s="197">
        <v>-112.89999999999418</v>
      </c>
      <c r="N32" s="291"/>
      <c r="O32" s="231">
        <f>O30+O31</f>
        <v>22370</v>
      </c>
      <c r="P32" s="244">
        <f>P30+P31</f>
        <v>40270</v>
      </c>
      <c r="Q32" s="379">
        <f t="shared" si="47"/>
        <v>78140</v>
      </c>
      <c r="R32" s="349">
        <f aca="true" t="shared" si="48" ref="R32:AW32">R30+R31</f>
        <v>22870</v>
      </c>
      <c r="S32" s="349">
        <f t="shared" si="48"/>
        <v>21000</v>
      </c>
      <c r="T32" s="349">
        <f t="shared" si="48"/>
        <v>11900</v>
      </c>
      <c r="U32" s="366">
        <f t="shared" si="48"/>
        <v>10309.95</v>
      </c>
      <c r="V32" s="366">
        <f t="shared" si="48"/>
        <v>0</v>
      </c>
      <c r="W32" s="366">
        <f t="shared" si="48"/>
        <v>8163.67</v>
      </c>
      <c r="X32" s="366">
        <f t="shared" si="48"/>
        <v>9296.91</v>
      </c>
      <c r="Y32" s="366">
        <f t="shared" si="48"/>
        <v>6267.19</v>
      </c>
      <c r="Z32" s="366">
        <f t="shared" si="48"/>
        <v>12026.73</v>
      </c>
      <c r="AA32" s="366">
        <f t="shared" si="48"/>
        <v>4607.259999999999</v>
      </c>
      <c r="AB32" s="366">
        <f t="shared" si="48"/>
        <v>1085.53</v>
      </c>
      <c r="AC32" s="424">
        <f t="shared" si="48"/>
        <v>0</v>
      </c>
      <c r="AD32" s="453">
        <f t="shared" si="48"/>
        <v>24214.12</v>
      </c>
      <c r="AE32" s="453">
        <f t="shared" si="48"/>
        <v>7352.719999999999</v>
      </c>
      <c r="AF32" s="454">
        <f t="shared" si="48"/>
        <v>20190.4</v>
      </c>
      <c r="AG32" s="424">
        <f t="shared" si="48"/>
        <v>7758.99</v>
      </c>
      <c r="AH32" s="424">
        <f t="shared" si="48"/>
        <v>7741.79</v>
      </c>
      <c r="AI32" s="424">
        <f t="shared" si="48"/>
        <v>6267.19</v>
      </c>
      <c r="AJ32" s="424">
        <f t="shared" si="48"/>
        <v>13522.63</v>
      </c>
      <c r="AK32" s="424">
        <f t="shared" si="48"/>
        <v>18550.14</v>
      </c>
      <c r="AL32" s="424">
        <f t="shared" si="48"/>
        <v>1085.53</v>
      </c>
      <c r="AM32" s="424">
        <f t="shared" si="48"/>
        <v>5758.43</v>
      </c>
      <c r="AN32" s="424">
        <f t="shared" si="48"/>
        <v>10250.29</v>
      </c>
      <c r="AO32" s="366">
        <f t="shared" si="48"/>
        <v>7741.79</v>
      </c>
      <c r="AP32" s="452">
        <f t="shared" si="48"/>
        <v>27040.05</v>
      </c>
      <c r="AQ32" s="452">
        <f t="shared" si="48"/>
        <v>36542.22</v>
      </c>
      <c r="AR32" s="421">
        <f t="shared" si="48"/>
        <v>15094.509999999998</v>
      </c>
      <c r="AS32" s="424">
        <f t="shared" si="48"/>
        <v>6345.92</v>
      </c>
      <c r="AT32" s="366">
        <f t="shared" si="48"/>
        <v>9078.74</v>
      </c>
      <c r="AU32" s="480">
        <f t="shared" si="48"/>
        <v>18550.14</v>
      </c>
      <c r="AV32" s="424">
        <f t="shared" si="48"/>
        <v>9306.87</v>
      </c>
      <c r="AW32" s="424">
        <f t="shared" si="48"/>
        <v>0</v>
      </c>
      <c r="AX32" s="366">
        <f aca="true" t="shared" si="49" ref="AX32:BP32">AX30+AX31</f>
        <v>10250.29</v>
      </c>
      <c r="AY32" s="424">
        <f t="shared" si="49"/>
        <v>3907.78</v>
      </c>
      <c r="AZ32" s="424">
        <f t="shared" si="49"/>
        <v>0</v>
      </c>
      <c r="BA32" s="366">
        <f t="shared" si="49"/>
        <v>9078.74</v>
      </c>
      <c r="BB32" s="366">
        <f t="shared" si="49"/>
        <v>19560.57</v>
      </c>
      <c r="BC32" s="366">
        <f t="shared" si="49"/>
        <v>9078.74</v>
      </c>
      <c r="BD32" s="366">
        <f t="shared" si="49"/>
        <v>37879.17</v>
      </c>
      <c r="BE32" s="366">
        <f t="shared" si="49"/>
        <v>8166.45</v>
      </c>
      <c r="BF32" s="366">
        <f t="shared" si="49"/>
        <v>21304.38</v>
      </c>
      <c r="BG32" s="366">
        <f t="shared" si="49"/>
        <v>0</v>
      </c>
      <c r="BH32" s="366">
        <f t="shared" si="49"/>
        <v>7805.17</v>
      </c>
      <c r="BI32" s="366">
        <f t="shared" si="49"/>
        <v>3841.96</v>
      </c>
      <c r="BJ32" s="366">
        <f t="shared" si="49"/>
        <v>0</v>
      </c>
      <c r="BK32" s="366">
        <f t="shared" si="49"/>
        <v>0</v>
      </c>
      <c r="BL32" s="366">
        <f t="shared" si="49"/>
        <v>0</v>
      </c>
      <c r="BM32" s="424">
        <f t="shared" si="49"/>
        <v>0</v>
      </c>
      <c r="BN32" s="424">
        <f t="shared" si="49"/>
        <v>15971.62</v>
      </c>
      <c r="BO32" s="424">
        <f t="shared" si="49"/>
        <v>25146.34</v>
      </c>
      <c r="BP32" s="424">
        <f t="shared" si="49"/>
        <v>0</v>
      </c>
      <c r="BQ32" s="424">
        <v>91277.55</v>
      </c>
      <c r="BR32" s="424">
        <v>78120.02</v>
      </c>
      <c r="BS32" s="366">
        <v>73170</v>
      </c>
      <c r="BT32" s="416">
        <v>19.980000000002292</v>
      </c>
      <c r="BU32" s="366">
        <v>0</v>
      </c>
      <c r="BV32" s="366">
        <v>5170.599999999988</v>
      </c>
      <c r="BW32" s="366"/>
      <c r="BX32" s="366">
        <f aca="true" t="shared" si="50" ref="BX32:CD32">BX30+BX31</f>
        <v>-15017.28</v>
      </c>
      <c r="BY32" s="366">
        <f t="shared" si="50"/>
        <v>11880.019999999997</v>
      </c>
      <c r="BZ32" s="366">
        <f t="shared" si="50"/>
        <v>66240</v>
      </c>
      <c r="CA32" s="366">
        <v>7606.462500000001</v>
      </c>
      <c r="CB32" s="424">
        <f t="shared" si="50"/>
        <v>8050</v>
      </c>
      <c r="CC32" s="551">
        <f t="shared" si="50"/>
        <v>8000</v>
      </c>
      <c r="CD32" s="551">
        <f t="shared" si="50"/>
        <v>6000</v>
      </c>
    </row>
    <row r="33" spans="1:82" s="1" customFormat="1" ht="21.75" customHeight="1" thickBot="1">
      <c r="A33" s="719" t="s">
        <v>26</v>
      </c>
      <c r="B33" s="720"/>
      <c r="C33" s="86">
        <f>681270+42080+59980</f>
        <v>783330</v>
      </c>
      <c r="D33" s="57"/>
      <c r="E33" s="104">
        <v>760101.18</v>
      </c>
      <c r="F33" s="105">
        <v>0</v>
      </c>
      <c r="G33" s="146">
        <v>0</v>
      </c>
      <c r="H33" s="137"/>
      <c r="I33" s="98">
        <v>23228.81999999995</v>
      </c>
      <c r="J33" s="389"/>
      <c r="K33" s="133">
        <v>63341.76500000001</v>
      </c>
      <c r="L33" s="184"/>
      <c r="M33" s="197">
        <v>-23228.81999999995</v>
      </c>
      <c r="N33" s="291"/>
      <c r="O33" s="234">
        <v>195970</v>
      </c>
      <c r="P33" s="227">
        <v>382140</v>
      </c>
      <c r="Q33" s="380">
        <f t="shared" si="47"/>
        <v>755320</v>
      </c>
      <c r="R33" s="227">
        <v>188030</v>
      </c>
      <c r="S33" s="227">
        <f>192000+6610</f>
        <v>198610</v>
      </c>
      <c r="T33" s="252">
        <f>2110+68600+102000</f>
        <v>172710</v>
      </c>
      <c r="U33" s="311">
        <v>82397.49</v>
      </c>
      <c r="V33" s="312"/>
      <c r="W33" s="313"/>
      <c r="X33" s="311">
        <v>57595.07</v>
      </c>
      <c r="Y33" s="312"/>
      <c r="Z33" s="313"/>
      <c r="AA33" s="311">
        <v>55907.68</v>
      </c>
      <c r="AB33" s="312"/>
      <c r="AC33" s="313"/>
      <c r="AD33" s="104">
        <f aca="true" t="shared" si="51" ref="AD33:AF34">U33+X33+AA33</f>
        <v>195900.24</v>
      </c>
      <c r="AE33" s="105">
        <f t="shared" si="51"/>
        <v>0</v>
      </c>
      <c r="AF33" s="449">
        <f t="shared" si="51"/>
        <v>0</v>
      </c>
      <c r="AG33" s="311">
        <v>52203.81</v>
      </c>
      <c r="AH33" s="312"/>
      <c r="AI33" s="313"/>
      <c r="AJ33" s="311">
        <v>78101.97</v>
      </c>
      <c r="AK33" s="312"/>
      <c r="AL33" s="314"/>
      <c r="AM33" s="311">
        <v>70671.03</v>
      </c>
      <c r="AN33" s="312"/>
      <c r="AO33" s="314"/>
      <c r="AP33" s="267">
        <f aca="true" t="shared" si="52" ref="AP33:AR34">AG33+AJ33+AM33</f>
        <v>200976.81</v>
      </c>
      <c r="AQ33" s="268">
        <f t="shared" si="52"/>
        <v>0</v>
      </c>
      <c r="AR33" s="482">
        <f t="shared" si="52"/>
        <v>0</v>
      </c>
      <c r="AS33" s="311">
        <v>50651.98</v>
      </c>
      <c r="AT33" s="314"/>
      <c r="AU33" s="356"/>
      <c r="AV33" s="311">
        <v>77010.45</v>
      </c>
      <c r="AW33" s="312"/>
      <c r="AX33" s="314"/>
      <c r="AY33" s="311">
        <v>43799.57</v>
      </c>
      <c r="AZ33" s="312"/>
      <c r="BA33" s="314"/>
      <c r="BB33" s="267">
        <f aca="true" t="shared" si="53" ref="BB33:BD37">AS33+AV33+AY33</f>
        <v>171462</v>
      </c>
      <c r="BC33" s="268">
        <f t="shared" si="53"/>
        <v>0</v>
      </c>
      <c r="BD33" s="462">
        <f t="shared" si="53"/>
        <v>0</v>
      </c>
      <c r="BE33" s="311">
        <v>60013.1</v>
      </c>
      <c r="BF33" s="312"/>
      <c r="BG33" s="314"/>
      <c r="BH33" s="311">
        <v>66378.82</v>
      </c>
      <c r="BI33" s="312"/>
      <c r="BJ33" s="314"/>
      <c r="BK33" s="311"/>
      <c r="BL33" s="312"/>
      <c r="BM33" s="313"/>
      <c r="BN33" s="311">
        <f aca="true" t="shared" si="54" ref="BN33:BP37">BE33+BH33+BK33</f>
        <v>126391.92000000001</v>
      </c>
      <c r="BO33" s="312">
        <f t="shared" si="54"/>
        <v>0</v>
      </c>
      <c r="BP33" s="313">
        <f t="shared" si="54"/>
        <v>0</v>
      </c>
      <c r="BQ33" s="360">
        <v>741332.56</v>
      </c>
      <c r="BR33" s="361">
        <v>0</v>
      </c>
      <c r="BS33" s="419">
        <v>0</v>
      </c>
      <c r="BT33" s="485"/>
      <c r="BU33" s="356">
        <v>13987.439999999944</v>
      </c>
      <c r="BV33" s="32"/>
      <c r="BW33" s="403"/>
      <c r="BX33" s="469">
        <v>-69.76000000000931</v>
      </c>
      <c r="BY33" s="489">
        <f>BQ33-BZ33</f>
        <v>158722.56000000006</v>
      </c>
      <c r="BZ33" s="529">
        <f>O33+R33+S33</f>
        <v>582610</v>
      </c>
      <c r="CA33" s="133">
        <v>61777.71333333334</v>
      </c>
      <c r="CB33" s="542">
        <v>100000</v>
      </c>
      <c r="CC33" s="211">
        <v>63000</v>
      </c>
      <c r="CD33" s="211">
        <v>63000</v>
      </c>
    </row>
    <row r="34" spans="1:82" s="1" customFormat="1" ht="21" customHeight="1" thickBot="1">
      <c r="A34" s="719" t="s">
        <v>27</v>
      </c>
      <c r="B34" s="720"/>
      <c r="C34" s="86">
        <f>307880+30000</f>
        <v>337880</v>
      </c>
      <c r="D34" s="60">
        <v>67754.4</v>
      </c>
      <c r="E34" s="106">
        <v>266582.39</v>
      </c>
      <c r="F34" s="107">
        <v>337252.54</v>
      </c>
      <c r="G34" s="151">
        <v>384319.95</v>
      </c>
      <c r="H34" s="139">
        <v>627.460000000021</v>
      </c>
      <c r="I34" s="99"/>
      <c r="J34" s="385">
        <v>138424.55</v>
      </c>
      <c r="K34" s="133">
        <v>22215.19916666667</v>
      </c>
      <c r="L34" s="185"/>
      <c r="M34" s="200">
        <v>-627.460000000021</v>
      </c>
      <c r="N34" s="291"/>
      <c r="O34" s="235">
        <f>62120+27880</f>
        <v>90000</v>
      </c>
      <c r="P34" s="245">
        <f>139760-27880</f>
        <v>111880</v>
      </c>
      <c r="Q34" s="381">
        <f t="shared" si="47"/>
        <v>225380</v>
      </c>
      <c r="R34" s="245">
        <v>70000</v>
      </c>
      <c r="S34" s="245">
        <v>21880</v>
      </c>
      <c r="T34" s="245">
        <f>20000+23500</f>
        <v>43500</v>
      </c>
      <c r="U34" s="311">
        <v>17857.47</v>
      </c>
      <c r="V34" s="312"/>
      <c r="W34" s="313"/>
      <c r="X34" s="311">
        <v>16287.87</v>
      </c>
      <c r="Y34" s="312"/>
      <c r="Z34" s="313">
        <v>88916.13</v>
      </c>
      <c r="AA34" s="311">
        <v>28569.99</v>
      </c>
      <c r="AB34" s="312">
        <v>59947.82</v>
      </c>
      <c r="AC34" s="313"/>
      <c r="AD34" s="104">
        <f t="shared" si="51"/>
        <v>62715.33</v>
      </c>
      <c r="AE34" s="105">
        <f t="shared" si="51"/>
        <v>59947.82</v>
      </c>
      <c r="AF34" s="449">
        <f t="shared" si="51"/>
        <v>88916.13</v>
      </c>
      <c r="AG34" s="311">
        <v>28487.15</v>
      </c>
      <c r="AH34" s="312"/>
      <c r="AI34" s="313"/>
      <c r="AJ34" s="311">
        <v>32209.5</v>
      </c>
      <c r="AK34" s="312">
        <v>61932.71</v>
      </c>
      <c r="AL34" s="314">
        <v>59947.82</v>
      </c>
      <c r="AM34" s="311">
        <v>14402.17</v>
      </c>
      <c r="AN34" s="312"/>
      <c r="AO34" s="314"/>
      <c r="AP34" s="267">
        <f t="shared" si="52"/>
        <v>75098.82</v>
      </c>
      <c r="AQ34" s="268">
        <f t="shared" si="52"/>
        <v>61932.71</v>
      </c>
      <c r="AR34" s="482">
        <f t="shared" si="52"/>
        <v>59947.82</v>
      </c>
      <c r="AS34" s="311">
        <v>24419.27</v>
      </c>
      <c r="AT34" s="314"/>
      <c r="AU34" s="356">
        <v>61932.71</v>
      </c>
      <c r="AV34" s="311">
        <v>12371.5</v>
      </c>
      <c r="AW34" s="312"/>
      <c r="AX34" s="314"/>
      <c r="AY34" s="311">
        <v>22966.3</v>
      </c>
      <c r="AZ34" s="312">
        <v>68789.9</v>
      </c>
      <c r="BA34" s="314"/>
      <c r="BB34" s="267">
        <f t="shared" si="53"/>
        <v>59757.07000000001</v>
      </c>
      <c r="BC34" s="268">
        <f t="shared" si="53"/>
        <v>68789.9</v>
      </c>
      <c r="BD34" s="462">
        <f t="shared" si="53"/>
        <v>61932.71</v>
      </c>
      <c r="BE34" s="311">
        <v>29849.65</v>
      </c>
      <c r="BF34" s="312"/>
      <c r="BG34" s="314"/>
      <c r="BH34" s="311">
        <v>26857.6</v>
      </c>
      <c r="BI34" s="312">
        <v>34592.24</v>
      </c>
      <c r="BJ34" s="314">
        <v>59993.34</v>
      </c>
      <c r="BK34" s="311"/>
      <c r="BL34" s="312"/>
      <c r="BM34" s="313"/>
      <c r="BN34" s="311">
        <f t="shared" si="54"/>
        <v>56707.25</v>
      </c>
      <c r="BO34" s="312">
        <f t="shared" si="54"/>
        <v>34592.24</v>
      </c>
      <c r="BP34" s="313">
        <f t="shared" si="54"/>
        <v>59993.34</v>
      </c>
      <c r="BQ34" s="360">
        <v>267064.17</v>
      </c>
      <c r="BR34" s="361">
        <v>225262.67</v>
      </c>
      <c r="BS34" s="419">
        <v>270790</v>
      </c>
      <c r="BT34" s="485">
        <v>117.3300000000163</v>
      </c>
      <c r="BU34" s="356"/>
      <c r="BV34" s="32">
        <v>96623.04999999993</v>
      </c>
      <c r="BW34" s="403"/>
      <c r="BX34" s="469">
        <v>-30052.18</v>
      </c>
      <c r="BY34" s="471">
        <f>BR34-BZ34</f>
        <v>43382.67000000001</v>
      </c>
      <c r="BZ34" s="529">
        <f>O34+R34+S34</f>
        <v>181880</v>
      </c>
      <c r="CA34" s="133">
        <v>22255.347500000003</v>
      </c>
      <c r="CB34" s="542">
        <v>35000</v>
      </c>
      <c r="CC34" s="211">
        <v>19000</v>
      </c>
      <c r="CD34" s="211">
        <v>19000</v>
      </c>
    </row>
    <row r="35" spans="1:82" s="1" customFormat="1" ht="25.5" customHeight="1" thickBot="1">
      <c r="A35" s="743" t="s">
        <v>46</v>
      </c>
      <c r="B35" s="744"/>
      <c r="C35" s="86">
        <f>116064+59024+276768+4960+48112+71424+93744+28768+73408</f>
        <v>772272</v>
      </c>
      <c r="D35" s="58"/>
      <c r="E35" s="108">
        <v>727136</v>
      </c>
      <c r="F35" s="109">
        <v>0</v>
      </c>
      <c r="G35" s="152">
        <v>372996</v>
      </c>
      <c r="H35" s="140"/>
      <c r="I35" s="100">
        <v>45136</v>
      </c>
      <c r="J35" s="393"/>
      <c r="K35" s="133">
        <v>60594.666666666664</v>
      </c>
      <c r="L35" s="186"/>
      <c r="M35" s="61">
        <v>-45136</v>
      </c>
      <c r="N35" s="291"/>
      <c r="O35" s="236">
        <f>116064+110608</f>
        <v>226672</v>
      </c>
      <c r="P35" s="228">
        <v>214272</v>
      </c>
      <c r="Q35" s="213">
        <f t="shared" si="47"/>
        <v>785168</v>
      </c>
      <c r="R35" s="228">
        <v>214272</v>
      </c>
      <c r="S35" s="228">
        <f>17856+38688</f>
        <v>56544</v>
      </c>
      <c r="T35" s="254">
        <f>74400+23808+14880+32736+141856</f>
        <v>287680</v>
      </c>
      <c r="U35" s="311">
        <v>40176</v>
      </c>
      <c r="V35" s="312"/>
      <c r="W35" s="313">
        <f>38688+28772</f>
        <v>67460</v>
      </c>
      <c r="X35" s="311">
        <v>35216</v>
      </c>
      <c r="Y35" s="312"/>
      <c r="Z35" s="313">
        <v>112092</v>
      </c>
      <c r="AA35" s="311">
        <v>39680</v>
      </c>
      <c r="AB35" s="312"/>
      <c r="AC35" s="313">
        <v>35216</v>
      </c>
      <c r="AD35" s="104">
        <f>U35+X35+AA35+109120</f>
        <v>224192</v>
      </c>
      <c r="AE35" s="105">
        <f aca="true" t="shared" si="55" ref="AE35:AF37">V35+Y35+AB35</f>
        <v>0</v>
      </c>
      <c r="AF35" s="449">
        <f t="shared" si="55"/>
        <v>214768</v>
      </c>
      <c r="AG35" s="311">
        <v>26784</v>
      </c>
      <c r="AH35" s="312"/>
      <c r="AI35" s="313">
        <v>39680</v>
      </c>
      <c r="AJ35" s="311">
        <v>36208</v>
      </c>
      <c r="AK35" s="312"/>
      <c r="AL35" s="314">
        <v>26784</v>
      </c>
      <c r="AM35" s="311">
        <v>35712</v>
      </c>
      <c r="AN35" s="312"/>
      <c r="AO35" s="314">
        <v>36208</v>
      </c>
      <c r="AP35" s="267">
        <f>AG35+AJ35+AM35+66960</f>
        <v>165664</v>
      </c>
      <c r="AQ35" s="268">
        <f aca="true" t="shared" si="56" ref="AQ35:AR37">AH35+AK35+AN35</f>
        <v>0</v>
      </c>
      <c r="AR35" s="482">
        <f t="shared" si="56"/>
        <v>102672</v>
      </c>
      <c r="AS35" s="311">
        <v>32736</v>
      </c>
      <c r="AT35" s="314"/>
      <c r="AU35" s="356">
        <v>35712</v>
      </c>
      <c r="AV35" s="311">
        <v>33232</v>
      </c>
      <c r="AW35" s="312"/>
      <c r="AX35" s="314">
        <v>32736</v>
      </c>
      <c r="AY35" s="311">
        <v>30752</v>
      </c>
      <c r="AZ35" s="312"/>
      <c r="BA35" s="314">
        <f>66960+33232</f>
        <v>100192</v>
      </c>
      <c r="BB35" s="267">
        <f t="shared" si="53"/>
        <v>96720</v>
      </c>
      <c r="BC35" s="268">
        <f t="shared" si="53"/>
        <v>0</v>
      </c>
      <c r="BD35" s="462">
        <f t="shared" si="53"/>
        <v>168640</v>
      </c>
      <c r="BE35" s="311">
        <v>32736</v>
      </c>
      <c r="BF35" s="312"/>
      <c r="BG35" s="314">
        <v>30752</v>
      </c>
      <c r="BH35" s="311">
        <v>32240</v>
      </c>
      <c r="BI35" s="312"/>
      <c r="BJ35" s="314">
        <v>32736</v>
      </c>
      <c r="BK35" s="311"/>
      <c r="BL35" s="312"/>
      <c r="BM35" s="313">
        <v>32240</v>
      </c>
      <c r="BN35" s="311">
        <f t="shared" si="54"/>
        <v>64976</v>
      </c>
      <c r="BO35" s="312">
        <f t="shared" si="54"/>
        <v>0</v>
      </c>
      <c r="BP35" s="313">
        <f t="shared" si="54"/>
        <v>95728</v>
      </c>
      <c r="BQ35" s="360">
        <v>782688</v>
      </c>
      <c r="BR35" s="361">
        <v>0</v>
      </c>
      <c r="BS35" s="419">
        <v>671584</v>
      </c>
      <c r="BT35" s="485"/>
      <c r="BU35" s="356">
        <v>2480</v>
      </c>
      <c r="BV35" s="32"/>
      <c r="BW35" s="403"/>
      <c r="BX35" s="469">
        <v>-992</v>
      </c>
      <c r="BY35" s="489">
        <f>BQ35-BZ35</f>
        <v>285200</v>
      </c>
      <c r="BZ35" s="529">
        <f>O35+R35+S35</f>
        <v>497488</v>
      </c>
      <c r="CA35" s="133">
        <v>65224</v>
      </c>
      <c r="CB35" s="476"/>
      <c r="CC35" s="208">
        <v>38688</v>
      </c>
      <c r="CD35" s="208">
        <v>38688</v>
      </c>
    </row>
    <row r="36" spans="1:82" s="1" customFormat="1" ht="18.75" customHeight="1" thickBot="1">
      <c r="A36" s="723" t="s">
        <v>36</v>
      </c>
      <c r="B36" s="724"/>
      <c r="C36" s="86">
        <f>10740+35450-24590-4000-6780</f>
        <v>10820</v>
      </c>
      <c r="D36" s="58"/>
      <c r="E36" s="108">
        <v>7714</v>
      </c>
      <c r="F36" s="109">
        <v>0</v>
      </c>
      <c r="G36" s="152">
        <v>11565</v>
      </c>
      <c r="H36" s="140"/>
      <c r="I36" s="100">
        <v>3106</v>
      </c>
      <c r="J36" s="393"/>
      <c r="K36" s="133">
        <v>642.8333333333334</v>
      </c>
      <c r="L36" s="186">
        <v>3100</v>
      </c>
      <c r="M36" s="61">
        <v>-6</v>
      </c>
      <c r="N36" s="291"/>
      <c r="O36" s="234">
        <f>2510-2510</f>
        <v>0</v>
      </c>
      <c r="P36" s="227">
        <f>6020+2510</f>
        <v>8530</v>
      </c>
      <c r="Q36" s="380">
        <f t="shared" si="47"/>
        <v>0</v>
      </c>
      <c r="R36" s="227">
        <v>0</v>
      </c>
      <c r="S36" s="227">
        <f>4260-4260</f>
        <v>0</v>
      </c>
      <c r="T36" s="252">
        <v>0</v>
      </c>
      <c r="U36" s="311">
        <v>0</v>
      </c>
      <c r="V36" s="312"/>
      <c r="W36" s="313"/>
      <c r="X36" s="311"/>
      <c r="Y36" s="312"/>
      <c r="Z36" s="313"/>
      <c r="AA36" s="311"/>
      <c r="AB36" s="312"/>
      <c r="AC36" s="313"/>
      <c r="AD36" s="104">
        <f>U36+X36+AA36</f>
        <v>0</v>
      </c>
      <c r="AE36" s="105">
        <f t="shared" si="55"/>
        <v>0</v>
      </c>
      <c r="AF36" s="449">
        <f t="shared" si="55"/>
        <v>0</v>
      </c>
      <c r="AG36" s="311"/>
      <c r="AH36" s="312"/>
      <c r="AI36" s="313"/>
      <c r="AJ36" s="311"/>
      <c r="AK36" s="312"/>
      <c r="AL36" s="314"/>
      <c r="AM36" s="311"/>
      <c r="AN36" s="312"/>
      <c r="AO36" s="314"/>
      <c r="AP36" s="267">
        <f>AG36+AJ36+AM36</f>
        <v>0</v>
      </c>
      <c r="AQ36" s="268">
        <f t="shared" si="56"/>
        <v>0</v>
      </c>
      <c r="AR36" s="482">
        <f t="shared" si="56"/>
        <v>0</v>
      </c>
      <c r="AS36" s="311">
        <v>0</v>
      </c>
      <c r="AT36" s="314"/>
      <c r="AU36" s="356"/>
      <c r="AV36" s="311"/>
      <c r="AW36" s="312"/>
      <c r="AX36" s="314"/>
      <c r="AY36" s="311"/>
      <c r="AZ36" s="312"/>
      <c r="BA36" s="314"/>
      <c r="BB36" s="267">
        <f t="shared" si="53"/>
        <v>0</v>
      </c>
      <c r="BC36" s="268">
        <f t="shared" si="53"/>
        <v>0</v>
      </c>
      <c r="BD36" s="462">
        <f t="shared" si="53"/>
        <v>0</v>
      </c>
      <c r="BE36" s="311"/>
      <c r="BF36" s="312"/>
      <c r="BG36" s="314"/>
      <c r="BH36" s="311"/>
      <c r="BI36" s="312"/>
      <c r="BJ36" s="314"/>
      <c r="BK36" s="311"/>
      <c r="BL36" s="312"/>
      <c r="BM36" s="313"/>
      <c r="BN36" s="311">
        <f t="shared" si="54"/>
        <v>0</v>
      </c>
      <c r="BO36" s="312">
        <f t="shared" si="54"/>
        <v>0</v>
      </c>
      <c r="BP36" s="313">
        <f t="shared" si="54"/>
        <v>0</v>
      </c>
      <c r="BQ36" s="360">
        <v>0</v>
      </c>
      <c r="BR36" s="361">
        <v>0</v>
      </c>
      <c r="BS36" s="419">
        <v>0</v>
      </c>
      <c r="BT36" s="485"/>
      <c r="BU36" s="356">
        <v>0</v>
      </c>
      <c r="BV36" s="32"/>
      <c r="BW36" s="403"/>
      <c r="BX36" s="469">
        <v>0</v>
      </c>
      <c r="BY36" s="489">
        <f>BQ36-BZ36</f>
        <v>0</v>
      </c>
      <c r="BZ36" s="529">
        <f>O36+R36+S36</f>
        <v>0</v>
      </c>
      <c r="CA36" s="133">
        <v>0</v>
      </c>
      <c r="CB36" s="476"/>
      <c r="CC36" s="212">
        <v>0</v>
      </c>
      <c r="CD36" s="212">
        <v>0</v>
      </c>
    </row>
    <row r="37" spans="1:82" s="1" customFormat="1" ht="23.25" customHeight="1" thickBot="1">
      <c r="A37" s="714" t="s">
        <v>37</v>
      </c>
      <c r="B37" s="738"/>
      <c r="C37" s="86">
        <f>1930+360+770-320</f>
        <v>2740</v>
      </c>
      <c r="D37" s="59"/>
      <c r="E37" s="110">
        <v>2420</v>
      </c>
      <c r="F37" s="111">
        <v>0</v>
      </c>
      <c r="G37" s="153">
        <v>2640</v>
      </c>
      <c r="H37" s="141"/>
      <c r="I37" s="101">
        <v>320</v>
      </c>
      <c r="J37" s="394"/>
      <c r="K37" s="133">
        <v>201.66666666666666</v>
      </c>
      <c r="L37" s="186"/>
      <c r="M37" s="199">
        <v>-320</v>
      </c>
      <c r="N37" s="291"/>
      <c r="O37" s="237">
        <f>510+690+710</f>
        <v>1910</v>
      </c>
      <c r="P37" s="246">
        <f>1400-690</f>
        <v>710</v>
      </c>
      <c r="Q37" s="382">
        <f t="shared" si="47"/>
        <v>4910</v>
      </c>
      <c r="R37" s="374">
        <v>0</v>
      </c>
      <c r="S37" s="374">
        <v>1500</v>
      </c>
      <c r="T37" s="374">
        <v>1500</v>
      </c>
      <c r="U37" s="311">
        <v>500</v>
      </c>
      <c r="V37" s="312"/>
      <c r="W37" s="313">
        <v>320</v>
      </c>
      <c r="X37" s="311"/>
      <c r="Y37" s="312"/>
      <c r="Z37" s="313">
        <v>160</v>
      </c>
      <c r="AA37" s="311">
        <v>320</v>
      </c>
      <c r="AB37" s="312"/>
      <c r="AC37" s="313">
        <v>500</v>
      </c>
      <c r="AD37" s="455">
        <f>U37+X37+AA37</f>
        <v>820</v>
      </c>
      <c r="AE37" s="456">
        <f t="shared" si="55"/>
        <v>0</v>
      </c>
      <c r="AF37" s="457">
        <f t="shared" si="55"/>
        <v>980</v>
      </c>
      <c r="AG37" s="311">
        <v>500</v>
      </c>
      <c r="AH37" s="312"/>
      <c r="AI37" s="313"/>
      <c r="AJ37" s="311">
        <v>580</v>
      </c>
      <c r="AK37" s="312"/>
      <c r="AL37" s="314">
        <v>320</v>
      </c>
      <c r="AM37" s="311">
        <v>0</v>
      </c>
      <c r="AN37" s="312"/>
      <c r="AO37" s="314">
        <v>500</v>
      </c>
      <c r="AP37" s="267">
        <f>AG37+AJ37+AM37</f>
        <v>1080</v>
      </c>
      <c r="AQ37" s="268">
        <f t="shared" si="56"/>
        <v>0</v>
      </c>
      <c r="AR37" s="482">
        <f t="shared" si="56"/>
        <v>820</v>
      </c>
      <c r="AS37" s="311">
        <v>420</v>
      </c>
      <c r="AT37" s="314"/>
      <c r="AU37" s="356">
        <v>580</v>
      </c>
      <c r="AV37" s="311">
        <v>560</v>
      </c>
      <c r="AW37" s="312"/>
      <c r="AX37" s="314">
        <v>0</v>
      </c>
      <c r="AY37" s="311">
        <v>600</v>
      </c>
      <c r="AZ37" s="312"/>
      <c r="BA37" s="314"/>
      <c r="BB37" s="267">
        <f t="shared" si="53"/>
        <v>1580</v>
      </c>
      <c r="BC37" s="268">
        <f t="shared" si="53"/>
        <v>0</v>
      </c>
      <c r="BD37" s="462">
        <f t="shared" si="53"/>
        <v>580</v>
      </c>
      <c r="BE37" s="311">
        <v>500</v>
      </c>
      <c r="BF37" s="312"/>
      <c r="BG37" s="314">
        <v>980</v>
      </c>
      <c r="BH37" s="311"/>
      <c r="BI37" s="312"/>
      <c r="BJ37" s="314">
        <v>530</v>
      </c>
      <c r="BK37" s="311"/>
      <c r="BL37" s="312"/>
      <c r="BM37" s="313"/>
      <c r="BN37" s="330">
        <f t="shared" si="54"/>
        <v>500</v>
      </c>
      <c r="BO37" s="331">
        <f t="shared" si="54"/>
        <v>0</v>
      </c>
      <c r="BP37" s="333">
        <f t="shared" si="54"/>
        <v>1510</v>
      </c>
      <c r="BQ37" s="362">
        <v>4800</v>
      </c>
      <c r="BR37" s="363">
        <v>0</v>
      </c>
      <c r="BS37" s="420">
        <v>3890</v>
      </c>
      <c r="BT37" s="486"/>
      <c r="BU37" s="356">
        <v>110</v>
      </c>
      <c r="BV37" s="354"/>
      <c r="BW37" s="405"/>
      <c r="BX37" s="473">
        <v>-380</v>
      </c>
      <c r="BY37" s="512">
        <f>BQ37-BZ37</f>
        <v>1390</v>
      </c>
      <c r="BZ37" s="530">
        <f>O37+R37+S37</f>
        <v>3410</v>
      </c>
      <c r="CA37" s="133">
        <v>400</v>
      </c>
      <c r="CB37" s="543"/>
      <c r="CC37" s="208">
        <v>1000</v>
      </c>
      <c r="CD37" s="208">
        <v>1000</v>
      </c>
    </row>
    <row r="38" spans="1:82" s="1" customFormat="1" ht="29.25" customHeight="1" thickBot="1">
      <c r="A38" s="732" t="s">
        <v>121</v>
      </c>
      <c r="B38" s="733"/>
      <c r="C38" s="75">
        <f>C5+C6+C8+C18+C21+C28+C32+C33+C34+C35+C36+C37</f>
        <v>45211712</v>
      </c>
      <c r="D38" s="46">
        <f>D5+D11+D14+D21+D23+D32+D34</f>
        <v>2482518.81</v>
      </c>
      <c r="E38" s="34">
        <v>44464811.97</v>
      </c>
      <c r="F38" s="35">
        <v>13454033.18</v>
      </c>
      <c r="G38" s="154">
        <v>15326029.059999999</v>
      </c>
      <c r="H38" s="34">
        <v>699502.9299999992</v>
      </c>
      <c r="I38" s="35">
        <v>551972.17</v>
      </c>
      <c r="J38" s="395">
        <f>J5+J9+J11+J14+J21+J23+J32+J34</f>
        <v>2571402.2199999997</v>
      </c>
      <c r="K38" s="128"/>
      <c r="L38" s="203"/>
      <c r="M38" s="1" t="s">
        <v>58</v>
      </c>
      <c r="N38" s="293"/>
      <c r="O38" s="223">
        <f>O7+O10+O13+O17+O21+O28+O32+O33+O34+O35+O36+O37</f>
        <v>12052902</v>
      </c>
      <c r="P38" s="223">
        <f>P7+P10+P13+P17+P21+P28+P32+P33+P34+P35+P36+P37</f>
        <v>26082242</v>
      </c>
      <c r="Q38" s="350">
        <f>Q7+Q10+Q13+Q17+Q21+Q28+Q32+Q33+Q34</f>
        <v>50943580</v>
      </c>
      <c r="R38" s="350">
        <f>R7+R10+R13+R17+R21+R28+R32+R33+R34+R35+R36+R37</f>
        <v>10895762</v>
      </c>
      <c r="S38" s="350">
        <f>S7+S10+S13+S17+S21+S28+S32+S33+S34+S35+S36+S37</f>
        <v>15130444</v>
      </c>
      <c r="T38" s="350">
        <f>T7+T10+T13+T17+T21+T28+T32+T33+T34+T35+T36+T37</f>
        <v>13654550</v>
      </c>
      <c r="U38" s="367">
        <f>U7+U10+U13+U17+U21+U28+U32+U33+U34+U35+U36+U37</f>
        <v>4124027.1200000006</v>
      </c>
      <c r="V38" s="367">
        <f>V7+V10+V13+V17+V21+V28+V32+V33+V34+V36</f>
        <v>347118.67</v>
      </c>
      <c r="W38" s="367">
        <f aca="true" t="shared" si="57" ref="W38:BB38">W7+W10+W13+W17+W21+W28+W32+W33+W34+W35+W36+W37</f>
        <v>378690.12</v>
      </c>
      <c r="X38" s="367">
        <f t="shared" si="57"/>
        <v>3794416.83</v>
      </c>
      <c r="Y38" s="367">
        <f t="shared" si="57"/>
        <v>1199934.48</v>
      </c>
      <c r="Z38" s="367">
        <f t="shared" si="57"/>
        <v>775458.13</v>
      </c>
      <c r="AA38" s="367">
        <f t="shared" si="57"/>
        <v>3842418.88</v>
      </c>
      <c r="AB38" s="367">
        <f t="shared" si="57"/>
        <v>405669.42000000004</v>
      </c>
      <c r="AC38" s="425">
        <f t="shared" si="57"/>
        <v>411794.23</v>
      </c>
      <c r="AD38" s="367">
        <f t="shared" si="57"/>
        <v>11869982.829999998</v>
      </c>
      <c r="AE38" s="367">
        <f t="shared" si="57"/>
        <v>1952722.5699999996</v>
      </c>
      <c r="AF38" s="425">
        <f t="shared" si="57"/>
        <v>1565942.48</v>
      </c>
      <c r="AG38" s="425">
        <f t="shared" si="57"/>
        <v>4042960.74</v>
      </c>
      <c r="AH38" s="425">
        <f t="shared" si="57"/>
        <v>315505.74999999994</v>
      </c>
      <c r="AI38" s="425">
        <f t="shared" si="57"/>
        <v>1239602.8599999999</v>
      </c>
      <c r="AJ38" s="425">
        <f t="shared" si="57"/>
        <v>4308927.53</v>
      </c>
      <c r="AK38" s="425">
        <f t="shared" si="57"/>
        <v>2036440.18</v>
      </c>
      <c r="AL38" s="425">
        <f t="shared" si="57"/>
        <v>432809.15</v>
      </c>
      <c r="AM38" s="425">
        <f t="shared" si="57"/>
        <v>4320422.85</v>
      </c>
      <c r="AN38" s="425">
        <f t="shared" si="57"/>
        <v>906038.55</v>
      </c>
      <c r="AO38" s="367">
        <f t="shared" si="57"/>
        <v>352213.74999999994</v>
      </c>
      <c r="AP38" s="425">
        <f t="shared" si="57"/>
        <v>12739271.120000003</v>
      </c>
      <c r="AQ38" s="425">
        <f t="shared" si="57"/>
        <v>3257984.48</v>
      </c>
      <c r="AR38" s="367">
        <f t="shared" si="57"/>
        <v>2024625.7599999998</v>
      </c>
      <c r="AS38" s="367">
        <f t="shared" si="57"/>
        <v>4399000.5</v>
      </c>
      <c r="AT38" s="367">
        <f t="shared" si="57"/>
        <v>891151.7000000001</v>
      </c>
      <c r="AU38" s="503">
        <f t="shared" si="57"/>
        <v>2072732.18</v>
      </c>
      <c r="AV38" s="367">
        <f t="shared" si="57"/>
        <v>4365993.88</v>
      </c>
      <c r="AW38" s="367">
        <f t="shared" si="57"/>
        <v>756997.95</v>
      </c>
      <c r="AX38" s="367">
        <f t="shared" si="57"/>
        <v>562701.61</v>
      </c>
      <c r="AY38" s="367">
        <f t="shared" si="57"/>
        <v>4046699.0399999996</v>
      </c>
      <c r="AZ38" s="367">
        <f t="shared" si="57"/>
        <v>885868.3600000001</v>
      </c>
      <c r="BA38" s="367">
        <f t="shared" si="57"/>
        <v>1367409.2000000002</v>
      </c>
      <c r="BB38" s="367">
        <f t="shared" si="57"/>
        <v>12811693.420000002</v>
      </c>
      <c r="BC38" s="367">
        <f aca="true" t="shared" si="58" ref="BC38:BV38">BC7+BC10+BC13+BC17+BC21+BC28+BC32+BC33+BC34+BC35+BC36+BC37</f>
        <v>2534018.0100000002</v>
      </c>
      <c r="BD38" s="367">
        <f t="shared" si="58"/>
        <v>4002842.9899999998</v>
      </c>
      <c r="BE38" s="367">
        <f t="shared" si="58"/>
        <v>4598249.82</v>
      </c>
      <c r="BF38" s="367">
        <f t="shared" si="58"/>
        <v>1348144.24</v>
      </c>
      <c r="BG38" s="367">
        <f t="shared" si="58"/>
        <v>788724.6100000001</v>
      </c>
      <c r="BH38" s="367">
        <f t="shared" si="58"/>
        <v>4461783.26</v>
      </c>
      <c r="BI38" s="367">
        <f t="shared" si="58"/>
        <v>627453.3899999999</v>
      </c>
      <c r="BJ38" s="367">
        <f t="shared" si="58"/>
        <v>910350.58</v>
      </c>
      <c r="BK38" s="367">
        <f t="shared" si="58"/>
        <v>0</v>
      </c>
      <c r="BL38" s="367">
        <f t="shared" si="58"/>
        <v>0</v>
      </c>
      <c r="BM38" s="367">
        <f t="shared" si="58"/>
        <v>244604.05</v>
      </c>
      <c r="BN38" s="367">
        <f t="shared" si="58"/>
        <v>9060033.08</v>
      </c>
      <c r="BO38" s="367">
        <f t="shared" si="58"/>
        <v>1975597.63</v>
      </c>
      <c r="BP38" s="367">
        <f t="shared" si="58"/>
        <v>1943679.24</v>
      </c>
      <c r="BQ38" s="367">
        <f t="shared" si="58"/>
        <v>51407517.769999996</v>
      </c>
      <c r="BR38" s="367">
        <f t="shared" si="58"/>
        <v>11282245.58</v>
      </c>
      <c r="BS38" s="367">
        <f t="shared" si="58"/>
        <v>9626906.04</v>
      </c>
      <c r="BT38" s="417">
        <f t="shared" si="58"/>
        <v>419924.42000000004</v>
      </c>
      <c r="BU38" s="368">
        <f t="shared" si="58"/>
        <v>-258133.5200000021</v>
      </c>
      <c r="BV38" s="499">
        <f t="shared" si="58"/>
        <v>2745268.1199999996</v>
      </c>
      <c r="BW38" s="499"/>
      <c r="BX38" s="499"/>
      <c r="BY38" s="499"/>
      <c r="BZ38" s="499"/>
      <c r="CA38" s="499"/>
      <c r="CB38" s="499">
        <f>CB7+CB10+CB13+CB17+CB21+CB28+CB32+CB33+CB34+CB35+CB36+CB37</f>
        <v>3225426.75</v>
      </c>
      <c r="CC38" s="552">
        <f>CC7+CC10+CC13+CC17+CC21+CC28+CC32+CC33+CC34+CC35+CC36+CC37</f>
        <v>4288688</v>
      </c>
      <c r="CD38" s="552">
        <f>CD7+CD10+CD13+CD17+CD21+CD28+CD32+CD33+CD34+CD35+CD36+CD37</f>
        <v>4284688</v>
      </c>
    </row>
    <row r="39" spans="1:82" s="11" customFormat="1" ht="16.5" customHeight="1">
      <c r="A39" s="2" t="s">
        <v>19</v>
      </c>
      <c r="B39" s="523" t="s">
        <v>47</v>
      </c>
      <c r="C39" s="76">
        <f>C5+C6+C13+C21+C28+C32+C33</f>
        <v>40014640</v>
      </c>
      <c r="D39" s="29">
        <f>D5+D6+D13+D21+D28+D32+D33</f>
        <v>2394520.5</v>
      </c>
      <c r="E39" s="12">
        <v>40001604.02</v>
      </c>
      <c r="F39" s="29">
        <v>13116780.64</v>
      </c>
      <c r="G39" s="155">
        <v>14554508.11</v>
      </c>
      <c r="H39" s="12">
        <v>105279.35999999935</v>
      </c>
      <c r="I39" s="29">
        <v>-110594.27</v>
      </c>
      <c r="J39" s="396">
        <f>J5+J11+J21+J23+J32</f>
        <v>2432977.67</v>
      </c>
      <c r="K39" s="134" t="s">
        <v>56</v>
      </c>
      <c r="L39" s="202"/>
      <c r="M39" s="11" t="s">
        <v>59</v>
      </c>
      <c r="N39" s="28"/>
      <c r="O39" s="224">
        <f aca="true" t="shared" si="59" ref="O39:AT39">O7+O13+O21+O28+O32+O33</f>
        <v>10716100</v>
      </c>
      <c r="P39" s="224">
        <f t="shared" si="59"/>
        <v>18835300</v>
      </c>
      <c r="Q39" s="351">
        <f t="shared" si="59"/>
        <v>45194150</v>
      </c>
      <c r="R39" s="351">
        <f t="shared" si="59"/>
        <v>9473990</v>
      </c>
      <c r="S39" s="351">
        <f t="shared" si="59"/>
        <v>12063660</v>
      </c>
      <c r="T39" s="351">
        <f t="shared" si="59"/>
        <v>12940400</v>
      </c>
      <c r="U39" s="369">
        <f t="shared" si="59"/>
        <v>3777666.09</v>
      </c>
      <c r="V39" s="369">
        <f t="shared" si="59"/>
        <v>292736.3</v>
      </c>
      <c r="W39" s="369">
        <f t="shared" si="59"/>
        <v>310910.12</v>
      </c>
      <c r="X39" s="369">
        <f t="shared" si="59"/>
        <v>3424765.8099999996</v>
      </c>
      <c r="Y39" s="369">
        <f t="shared" si="59"/>
        <v>1199934.48</v>
      </c>
      <c r="Z39" s="369">
        <f t="shared" si="59"/>
        <v>574290</v>
      </c>
      <c r="AA39" s="369">
        <f t="shared" si="59"/>
        <v>3437174</v>
      </c>
      <c r="AB39" s="369">
        <f t="shared" si="59"/>
        <v>307517.54000000004</v>
      </c>
      <c r="AC39" s="426">
        <f t="shared" si="59"/>
        <v>321695.86</v>
      </c>
      <c r="AD39" s="369">
        <f t="shared" si="59"/>
        <v>10639605.899999999</v>
      </c>
      <c r="AE39" s="369">
        <f t="shared" si="59"/>
        <v>1800188.3199999996</v>
      </c>
      <c r="AF39" s="426">
        <f t="shared" si="59"/>
        <v>1206895.98</v>
      </c>
      <c r="AG39" s="426">
        <f t="shared" si="59"/>
        <v>3578319.41</v>
      </c>
      <c r="AH39" s="426">
        <f t="shared" si="59"/>
        <v>250110.50999999998</v>
      </c>
      <c r="AI39" s="426">
        <f t="shared" si="59"/>
        <v>1199922.8599999999</v>
      </c>
      <c r="AJ39" s="426">
        <f t="shared" si="59"/>
        <v>3804608.6100000003</v>
      </c>
      <c r="AK39" s="426">
        <f t="shared" si="59"/>
        <v>1814803.99</v>
      </c>
      <c r="AL39" s="426">
        <f t="shared" si="59"/>
        <v>307553.27</v>
      </c>
      <c r="AM39" s="426">
        <f t="shared" si="59"/>
        <v>3804363.1999999993</v>
      </c>
      <c r="AN39" s="426">
        <f t="shared" si="59"/>
        <v>855099.8</v>
      </c>
      <c r="AO39" s="369">
        <f t="shared" si="59"/>
        <v>250110.50999999998</v>
      </c>
      <c r="AP39" s="426">
        <f t="shared" si="59"/>
        <v>11187291.22</v>
      </c>
      <c r="AQ39" s="426">
        <f t="shared" si="59"/>
        <v>2920014.3000000003</v>
      </c>
      <c r="AR39" s="369">
        <f t="shared" si="59"/>
        <v>1757586.6399999997</v>
      </c>
      <c r="AS39" s="369">
        <f t="shared" si="59"/>
        <v>3978411.91</v>
      </c>
      <c r="AT39" s="369">
        <f t="shared" si="59"/>
        <v>548006.4099999999</v>
      </c>
      <c r="AU39" s="504">
        <f aca="true" t="shared" si="60" ref="AU39:BV39">AU7+AU13+AU21+AU28+AU32+AU33</f>
        <v>1814803.99</v>
      </c>
      <c r="AV39" s="369">
        <f t="shared" si="60"/>
        <v>3899126.87</v>
      </c>
      <c r="AW39" s="369">
        <f t="shared" si="60"/>
        <v>756997.95</v>
      </c>
      <c r="AX39" s="369">
        <f t="shared" si="60"/>
        <v>479026.86</v>
      </c>
      <c r="AY39" s="369">
        <f t="shared" si="60"/>
        <v>3635486.1499999994</v>
      </c>
      <c r="AZ39" s="369">
        <f t="shared" si="60"/>
        <v>762696.0900000001</v>
      </c>
      <c r="BA39" s="369">
        <f t="shared" si="60"/>
        <v>924071.9100000001</v>
      </c>
      <c r="BB39" s="369">
        <f t="shared" si="60"/>
        <v>11513024.93</v>
      </c>
      <c r="BC39" s="369">
        <f t="shared" si="60"/>
        <v>2067700.45</v>
      </c>
      <c r="BD39" s="369">
        <f t="shared" si="60"/>
        <v>3217902.76</v>
      </c>
      <c r="BE39" s="369">
        <f t="shared" si="60"/>
        <v>4091233.7100000004</v>
      </c>
      <c r="BF39" s="369">
        <f t="shared" si="60"/>
        <v>1135780.19</v>
      </c>
      <c r="BG39" s="369">
        <f t="shared" si="60"/>
        <v>756992.6100000001</v>
      </c>
      <c r="BH39" s="369">
        <f t="shared" si="60"/>
        <v>3934114.9499999997</v>
      </c>
      <c r="BI39" s="369">
        <f t="shared" si="60"/>
        <v>374445.63</v>
      </c>
      <c r="BJ39" s="369">
        <f t="shared" si="60"/>
        <v>762708.87</v>
      </c>
      <c r="BK39" s="369">
        <f t="shared" si="60"/>
        <v>0</v>
      </c>
      <c r="BL39" s="369">
        <f t="shared" si="60"/>
        <v>0</v>
      </c>
      <c r="BM39" s="369">
        <f t="shared" si="60"/>
        <v>0</v>
      </c>
      <c r="BN39" s="369">
        <f t="shared" si="60"/>
        <v>8025348.660000001</v>
      </c>
      <c r="BO39" s="369">
        <f t="shared" si="60"/>
        <v>1510225.82</v>
      </c>
      <c r="BP39" s="369">
        <f t="shared" si="60"/>
        <v>1519701.48</v>
      </c>
      <c r="BQ39" s="369">
        <f t="shared" si="60"/>
        <v>45643428.75</v>
      </c>
      <c r="BR39" s="369">
        <f t="shared" si="60"/>
        <v>9440308.14</v>
      </c>
      <c r="BS39" s="369">
        <f t="shared" si="60"/>
        <v>7702117.459999999</v>
      </c>
      <c r="BT39" s="504">
        <f t="shared" si="60"/>
        <v>322481.86</v>
      </c>
      <c r="BU39" s="369">
        <f t="shared" si="60"/>
        <v>-247455.88000000198</v>
      </c>
      <c r="BV39" s="500">
        <f t="shared" si="60"/>
        <v>1918189.5100000002</v>
      </c>
      <c r="BW39" s="500"/>
      <c r="BX39" s="500"/>
      <c r="BY39" s="500"/>
      <c r="BZ39" s="500"/>
      <c r="CA39" s="500"/>
      <c r="CB39" s="500">
        <f>CB7+CB13+CB21+CB28+CB32+CB33</f>
        <v>3190426.75</v>
      </c>
      <c r="CC39" s="553">
        <f>CC7+CC13+CC21+CC28+CC32+CC33</f>
        <v>3769000</v>
      </c>
      <c r="CD39" s="553">
        <f>CD7+CD13+CD21+CD28+CD32+CD33</f>
        <v>3766000</v>
      </c>
    </row>
    <row r="40" spans="1:82" s="11" customFormat="1" ht="17.25" customHeight="1" thickBot="1">
      <c r="A40" s="14"/>
      <c r="B40" s="477" t="s">
        <v>20</v>
      </c>
      <c r="C40" s="77">
        <f>C14+C15+C16+C34</f>
        <v>1605610</v>
      </c>
      <c r="D40" s="30">
        <f>D17+D34</f>
        <v>67754.4</v>
      </c>
      <c r="E40" s="16">
        <v>1513904.06</v>
      </c>
      <c r="F40" s="30">
        <v>337252.54</v>
      </c>
      <c r="G40" s="156">
        <v>384319.95</v>
      </c>
      <c r="H40" s="16">
        <v>627.460000000021</v>
      </c>
      <c r="I40" s="30">
        <v>20408.330000000075</v>
      </c>
      <c r="J40" s="397">
        <f>J34</f>
        <v>138424.55</v>
      </c>
      <c r="K40" s="134" t="s">
        <v>57</v>
      </c>
      <c r="L40" s="163">
        <f>L17+L34</f>
        <v>0</v>
      </c>
      <c r="N40" s="28"/>
      <c r="O40" s="225">
        <f aca="true" t="shared" si="61" ref="O40:AT40">O17+O34</f>
        <v>406810</v>
      </c>
      <c r="P40" s="225">
        <f t="shared" si="61"/>
        <v>1062280</v>
      </c>
      <c r="Q40" s="352">
        <f t="shared" si="61"/>
        <v>1605430</v>
      </c>
      <c r="R40" s="352">
        <f t="shared" si="61"/>
        <v>407500</v>
      </c>
      <c r="S40" s="352">
        <f t="shared" si="61"/>
        <v>444740</v>
      </c>
      <c r="T40" s="352">
        <f t="shared" si="61"/>
        <v>346380</v>
      </c>
      <c r="U40" s="370">
        <f t="shared" si="61"/>
        <v>143077.47</v>
      </c>
      <c r="V40" s="370">
        <f t="shared" si="61"/>
        <v>0</v>
      </c>
      <c r="W40" s="370">
        <f t="shared" si="61"/>
        <v>0</v>
      </c>
      <c r="X40" s="370">
        <f t="shared" si="61"/>
        <v>133683.87</v>
      </c>
      <c r="Y40" s="370">
        <f t="shared" si="61"/>
        <v>0</v>
      </c>
      <c r="Z40" s="370">
        <f t="shared" si="61"/>
        <v>88916.13</v>
      </c>
      <c r="AA40" s="370">
        <f t="shared" si="61"/>
        <v>128737.87000000001</v>
      </c>
      <c r="AB40" s="370">
        <f t="shared" si="61"/>
        <v>59947.82</v>
      </c>
      <c r="AC40" s="428">
        <f t="shared" si="61"/>
        <v>0</v>
      </c>
      <c r="AD40" s="370">
        <f t="shared" si="61"/>
        <v>405499.21</v>
      </c>
      <c r="AE40" s="370">
        <f t="shared" si="61"/>
        <v>59947.82</v>
      </c>
      <c r="AF40" s="428">
        <f t="shared" si="61"/>
        <v>88916.13</v>
      </c>
      <c r="AG40" s="428">
        <f t="shared" si="61"/>
        <v>139007.15</v>
      </c>
      <c r="AH40" s="428">
        <f t="shared" si="61"/>
        <v>0</v>
      </c>
      <c r="AI40" s="428">
        <f t="shared" si="61"/>
        <v>0</v>
      </c>
      <c r="AJ40" s="428">
        <f t="shared" si="61"/>
        <v>161209.5</v>
      </c>
      <c r="AK40" s="428">
        <f t="shared" si="61"/>
        <v>61932.71</v>
      </c>
      <c r="AL40" s="428">
        <f t="shared" si="61"/>
        <v>59947.82</v>
      </c>
      <c r="AM40" s="428">
        <f t="shared" si="61"/>
        <v>118382.17</v>
      </c>
      <c r="AN40" s="428">
        <f t="shared" si="61"/>
        <v>0</v>
      </c>
      <c r="AO40" s="370">
        <f t="shared" si="61"/>
        <v>0</v>
      </c>
      <c r="AP40" s="428">
        <f t="shared" si="61"/>
        <v>418598.82</v>
      </c>
      <c r="AQ40" s="428">
        <f t="shared" si="61"/>
        <v>61932.71</v>
      </c>
      <c r="AR40" s="370">
        <f t="shared" si="61"/>
        <v>59947.82</v>
      </c>
      <c r="AS40" s="370">
        <f t="shared" si="61"/>
        <v>139538.27</v>
      </c>
      <c r="AT40" s="370">
        <f t="shared" si="61"/>
        <v>0</v>
      </c>
      <c r="AU40" s="505">
        <f aca="true" t="shared" si="62" ref="AU40:BV40">AU17+AU34</f>
        <v>61932.71</v>
      </c>
      <c r="AV40" s="370">
        <f t="shared" si="62"/>
        <v>131516.5</v>
      </c>
      <c r="AW40" s="370">
        <f t="shared" si="62"/>
        <v>0</v>
      </c>
      <c r="AX40" s="370">
        <f t="shared" si="62"/>
        <v>0</v>
      </c>
      <c r="AY40" s="370">
        <f t="shared" si="62"/>
        <v>129907.3</v>
      </c>
      <c r="AZ40" s="370">
        <f t="shared" si="62"/>
        <v>68789.9</v>
      </c>
      <c r="BA40" s="370">
        <f t="shared" si="62"/>
        <v>0</v>
      </c>
      <c r="BB40" s="370">
        <f t="shared" si="62"/>
        <v>400962.07</v>
      </c>
      <c r="BC40" s="370">
        <f t="shared" si="62"/>
        <v>68789.9</v>
      </c>
      <c r="BD40" s="370">
        <f t="shared" si="62"/>
        <v>61932.71</v>
      </c>
      <c r="BE40" s="370">
        <f t="shared" si="62"/>
        <v>148308.85</v>
      </c>
      <c r="BF40" s="370">
        <f t="shared" si="62"/>
        <v>0</v>
      </c>
      <c r="BG40" s="370">
        <f t="shared" si="62"/>
        <v>0</v>
      </c>
      <c r="BH40" s="370">
        <f t="shared" si="62"/>
        <v>153748.6</v>
      </c>
      <c r="BI40" s="370">
        <f t="shared" si="62"/>
        <v>34592.24</v>
      </c>
      <c r="BJ40" s="370">
        <f t="shared" si="62"/>
        <v>59993.34</v>
      </c>
      <c r="BK40" s="370">
        <f t="shared" si="62"/>
        <v>0</v>
      </c>
      <c r="BL40" s="370">
        <f t="shared" si="62"/>
        <v>0</v>
      </c>
      <c r="BM40" s="370">
        <f t="shared" si="62"/>
        <v>0</v>
      </c>
      <c r="BN40" s="370">
        <f t="shared" si="62"/>
        <v>302057.45</v>
      </c>
      <c r="BO40" s="370">
        <f t="shared" si="62"/>
        <v>34592.24</v>
      </c>
      <c r="BP40" s="370">
        <f t="shared" si="62"/>
        <v>59993.34</v>
      </c>
      <c r="BQ40" s="370">
        <f t="shared" si="62"/>
        <v>1661628.25</v>
      </c>
      <c r="BR40" s="370">
        <f t="shared" si="62"/>
        <v>225262.67</v>
      </c>
      <c r="BS40" s="370">
        <f t="shared" si="62"/>
        <v>270790</v>
      </c>
      <c r="BT40" s="505">
        <f t="shared" si="62"/>
        <v>117.3300000000163</v>
      </c>
      <c r="BU40" s="370">
        <f t="shared" si="62"/>
        <v>-14514.080000000075</v>
      </c>
      <c r="BV40" s="370">
        <f t="shared" si="62"/>
        <v>96623.04999999993</v>
      </c>
      <c r="BW40" s="370"/>
      <c r="BX40" s="370"/>
      <c r="BY40" s="370"/>
      <c r="BZ40" s="370"/>
      <c r="CA40" s="370"/>
      <c r="CB40" s="370">
        <f>CB17+CB34</f>
        <v>35000</v>
      </c>
      <c r="CC40" s="554">
        <f>CC17+CC34</f>
        <v>135000</v>
      </c>
      <c r="CD40" s="554">
        <f>CD17+CD34</f>
        <v>134000</v>
      </c>
    </row>
    <row r="41" spans="1:82" s="11" customFormat="1" ht="14.25" customHeight="1" thickBot="1">
      <c r="A41" s="87" t="s">
        <v>19</v>
      </c>
      <c r="B41" s="88"/>
      <c r="C41" s="78"/>
      <c r="D41" s="17"/>
      <c r="E41" s="94"/>
      <c r="F41" s="94"/>
      <c r="G41" s="127"/>
      <c r="H41" s="28"/>
      <c r="I41" s="28"/>
      <c r="J41" s="127"/>
      <c r="K41" s="127"/>
      <c r="L41" s="164"/>
      <c r="N41" s="28"/>
      <c r="O41" s="221"/>
      <c r="P41" s="221"/>
      <c r="Q41" s="353"/>
      <c r="R41" s="353"/>
      <c r="S41" s="353"/>
      <c r="T41" s="353"/>
      <c r="U41" s="94"/>
      <c r="V41" s="94"/>
      <c r="W41" s="94"/>
      <c r="X41" s="94"/>
      <c r="Y41" s="94"/>
      <c r="Z41" s="94"/>
      <c r="AA41" s="94"/>
      <c r="AB41" s="94"/>
      <c r="AC41" s="94"/>
      <c r="AD41" s="437"/>
      <c r="AE41" s="438"/>
      <c r="AF41" s="439"/>
      <c r="AG41" s="94"/>
      <c r="AH41" s="94"/>
      <c r="AI41" s="94"/>
      <c r="AJ41" s="437"/>
      <c r="AK41" s="438"/>
      <c r="AL41" s="439"/>
      <c r="AM41" s="94"/>
      <c r="AN41" s="94"/>
      <c r="AO41" s="94"/>
      <c r="AP41" s="437"/>
      <c r="AQ41" s="438"/>
      <c r="AR41" s="439"/>
      <c r="AS41" s="506"/>
      <c r="AT41" s="439"/>
      <c r="AU41" s="439"/>
      <c r="AV41" s="439"/>
      <c r="AW41" s="439"/>
      <c r="AX41" s="439"/>
      <c r="AY41" s="439"/>
      <c r="AZ41" s="439"/>
      <c r="BA41" s="439"/>
      <c r="BB41" s="439"/>
      <c r="BC41" s="439"/>
      <c r="BD41" s="438"/>
      <c r="BE41" s="315"/>
      <c r="BF41" s="316"/>
      <c r="BG41" s="522"/>
      <c r="BH41" s="315"/>
      <c r="BI41" s="316"/>
      <c r="BJ41" s="522"/>
      <c r="BK41" s="315"/>
      <c r="BL41" s="316"/>
      <c r="BM41" s="522"/>
      <c r="BN41" s="315"/>
      <c r="BO41" s="316"/>
      <c r="BP41" s="522"/>
      <c r="CC41" s="555"/>
      <c r="CD41" s="555"/>
    </row>
    <row r="42" spans="1:82" ht="18.75" customHeight="1" thickBot="1">
      <c r="A42" s="734" t="s">
        <v>89</v>
      </c>
      <c r="B42" s="735"/>
      <c r="C42" s="122">
        <f>C45+C36</f>
        <v>13570760</v>
      </c>
      <c r="D42" s="42"/>
      <c r="E42" s="123">
        <f>E5+E11+E14+E21+E23+E32+E34+E36</f>
        <v>13372726.139999999</v>
      </c>
      <c r="F42" s="123">
        <f>F5+F11+F14+F21+F23+F32+F34+F36</f>
        <v>13454033.18</v>
      </c>
      <c r="G42" s="157">
        <f>G5+G11+G14+G21+G23+G32+G34+G36</f>
        <v>14950393.059999999</v>
      </c>
      <c r="H42" s="123">
        <f>H5+H11+H14+H21+H23+H32+H34+H36</f>
        <v>105906.81999999937</v>
      </c>
      <c r="I42" s="123">
        <f>I5+I11+I14+I21+I23+I32+I34+I36</f>
        <v>3106</v>
      </c>
      <c r="K42" s="187"/>
      <c r="L42" s="165"/>
      <c r="M42" s="169"/>
      <c r="O42" s="513">
        <f aca="true" t="shared" si="63" ref="O42:AT42">O45+O36</f>
        <v>3303700</v>
      </c>
      <c r="P42" s="513">
        <f t="shared" si="63"/>
        <v>7950980</v>
      </c>
      <c r="Q42" s="513">
        <f t="shared" si="63"/>
        <v>11702170</v>
      </c>
      <c r="R42" s="513">
        <f t="shared" si="63"/>
        <v>2111170</v>
      </c>
      <c r="S42" s="513">
        <f t="shared" si="63"/>
        <v>4064960</v>
      </c>
      <c r="T42" s="535">
        <f t="shared" si="63"/>
        <v>2222340</v>
      </c>
      <c r="U42" s="342">
        <f t="shared" si="63"/>
        <v>945025.8199999998</v>
      </c>
      <c r="V42" s="342">
        <f t="shared" si="63"/>
        <v>347118.67</v>
      </c>
      <c r="W42" s="342">
        <f t="shared" si="63"/>
        <v>310910.12</v>
      </c>
      <c r="X42" s="342">
        <f t="shared" si="63"/>
        <v>852358.2599999999</v>
      </c>
      <c r="Y42" s="342">
        <f t="shared" si="63"/>
        <v>1199934.48</v>
      </c>
      <c r="Z42" s="342">
        <f t="shared" si="63"/>
        <v>663206.13</v>
      </c>
      <c r="AA42" s="342">
        <f t="shared" si="63"/>
        <v>885327.5700000001</v>
      </c>
      <c r="AB42" s="342">
        <f t="shared" si="63"/>
        <v>405669.42000000004</v>
      </c>
      <c r="AC42" s="429">
        <f t="shared" si="63"/>
        <v>376078.23</v>
      </c>
      <c r="AD42" s="342">
        <f t="shared" si="63"/>
        <v>2682711.6500000004</v>
      </c>
      <c r="AE42" s="342">
        <f t="shared" si="63"/>
        <v>1952722.5699999996</v>
      </c>
      <c r="AF42" s="342">
        <f t="shared" si="63"/>
        <v>1350194.48</v>
      </c>
      <c r="AG42" s="342">
        <f t="shared" si="63"/>
        <v>902859.1499999999</v>
      </c>
      <c r="AH42" s="342">
        <f t="shared" si="63"/>
        <v>315505.74999999994</v>
      </c>
      <c r="AI42" s="342">
        <f t="shared" si="63"/>
        <v>1199922.8599999999</v>
      </c>
      <c r="AJ42" s="342">
        <f t="shared" si="63"/>
        <v>1038022.0499999999</v>
      </c>
      <c r="AK42" s="342">
        <f t="shared" si="63"/>
        <v>2036440.18</v>
      </c>
      <c r="AL42" s="342">
        <f t="shared" si="63"/>
        <v>405705.15</v>
      </c>
      <c r="AM42" s="342">
        <f t="shared" si="63"/>
        <v>985449.7200000001</v>
      </c>
      <c r="AN42" s="342">
        <f t="shared" si="63"/>
        <v>906038.55</v>
      </c>
      <c r="AO42" s="342">
        <f t="shared" si="63"/>
        <v>315505.74999999994</v>
      </c>
      <c r="AP42" s="342">
        <f t="shared" si="63"/>
        <v>2926330.92</v>
      </c>
      <c r="AQ42" s="342">
        <f t="shared" si="63"/>
        <v>3257984.48</v>
      </c>
      <c r="AR42" s="342">
        <f t="shared" si="63"/>
        <v>1921133.7599999998</v>
      </c>
      <c r="AS42" s="342">
        <f t="shared" si="63"/>
        <v>915691.6699999999</v>
      </c>
      <c r="AT42" s="342">
        <f t="shared" si="63"/>
        <v>891151.7000000001</v>
      </c>
      <c r="AU42" s="433">
        <f aca="true" t="shared" si="64" ref="AU42:BV42">AU45+AU36</f>
        <v>2036440.18</v>
      </c>
      <c r="AV42" s="342">
        <f t="shared" si="64"/>
        <v>959769.5399999999</v>
      </c>
      <c r="AW42" s="342">
        <f t="shared" si="64"/>
        <v>756997.95</v>
      </c>
      <c r="AX42" s="342">
        <f t="shared" si="64"/>
        <v>529965.61</v>
      </c>
      <c r="AY42" s="342">
        <f t="shared" si="64"/>
        <v>771605.6599999999</v>
      </c>
      <c r="AZ42" s="342">
        <f t="shared" si="64"/>
        <v>885868.3600000001</v>
      </c>
      <c r="BA42" s="342">
        <f t="shared" si="64"/>
        <v>1267217.2000000002</v>
      </c>
      <c r="BB42" s="342">
        <f t="shared" si="64"/>
        <v>2647066.869999999</v>
      </c>
      <c r="BC42" s="342">
        <f t="shared" si="64"/>
        <v>2534018.0100000002</v>
      </c>
      <c r="BD42" s="429">
        <f t="shared" si="64"/>
        <v>3833622.9899999998</v>
      </c>
      <c r="BE42" s="429">
        <f t="shared" si="64"/>
        <v>1076180.8199999998</v>
      </c>
      <c r="BF42" s="429">
        <f t="shared" si="64"/>
        <v>1348144.24</v>
      </c>
      <c r="BG42" s="429">
        <f t="shared" si="64"/>
        <v>756992.6100000001</v>
      </c>
      <c r="BH42" s="429">
        <f t="shared" si="64"/>
        <v>889682.2</v>
      </c>
      <c r="BI42" s="429">
        <f t="shared" si="64"/>
        <v>627453.3899999999</v>
      </c>
      <c r="BJ42" s="429">
        <f t="shared" si="64"/>
        <v>877084.58</v>
      </c>
      <c r="BK42" s="429">
        <f t="shared" si="64"/>
        <v>0</v>
      </c>
      <c r="BL42" s="429">
        <f t="shared" si="64"/>
        <v>0</v>
      </c>
      <c r="BM42" s="429">
        <f t="shared" si="64"/>
        <v>212364.05</v>
      </c>
      <c r="BN42" s="429">
        <f t="shared" si="64"/>
        <v>1965863.0200000003</v>
      </c>
      <c r="BO42" s="429">
        <f t="shared" si="64"/>
        <v>1975597.63</v>
      </c>
      <c r="BP42" s="342">
        <f t="shared" si="64"/>
        <v>1846441.24</v>
      </c>
      <c r="BQ42" s="342">
        <f t="shared" si="64"/>
        <v>11117896.250000002</v>
      </c>
      <c r="BR42" s="342">
        <f t="shared" si="64"/>
        <v>11282245.58</v>
      </c>
      <c r="BS42" s="342">
        <f t="shared" si="64"/>
        <v>8951432.04</v>
      </c>
      <c r="BT42" s="342">
        <f t="shared" si="64"/>
        <v>419924.42000000004</v>
      </c>
      <c r="BU42" s="342">
        <f t="shared" si="64"/>
        <v>0</v>
      </c>
      <c r="BV42" s="157">
        <f t="shared" si="64"/>
        <v>2745268.1199999996</v>
      </c>
      <c r="BW42" s="157"/>
      <c r="BX42" s="157"/>
      <c r="BY42" s="157"/>
      <c r="BZ42" s="157"/>
      <c r="CA42" s="157"/>
      <c r="CB42" s="157">
        <f>CB45+CB36</f>
        <v>43050</v>
      </c>
      <c r="CC42" s="558">
        <f>CC45+CC36</f>
        <v>976000</v>
      </c>
      <c r="CD42" s="558">
        <f>CD45+CD36</f>
        <v>974000</v>
      </c>
    </row>
    <row r="43" spans="1:82" ht="18" customHeight="1" thickBot="1">
      <c r="A43" s="400" t="s">
        <v>53</v>
      </c>
      <c r="B43" s="401" t="s">
        <v>91</v>
      </c>
      <c r="C43" s="124">
        <f>C6+C12+C15+C16+C22+C24+C26+C27+C29+C33</f>
        <v>26902440</v>
      </c>
      <c r="D43" s="42"/>
      <c r="E43" s="126">
        <f>E6+E12+E15+E16+E22+E24+E25+E26+E27+E29+E33</f>
        <v>28150495.939999998</v>
      </c>
      <c r="F43" s="126">
        <f>F6+F12+F15+F16+F22+F24+F25+F26+F27+F29+F33</f>
        <v>0</v>
      </c>
      <c r="G43" s="158">
        <f>G6+G12+G15+G16+G22+G24+G25+G26+G27+G29+G33</f>
        <v>8403.31</v>
      </c>
      <c r="H43" s="126">
        <f>H6+H12+H15+H16+H22+H24+H25+H26+H27+H29+H33</f>
        <v>0</v>
      </c>
      <c r="I43" s="126">
        <f>I6+I12+I15+I16+I22+I24+I25+I26+I27+I29+I33</f>
        <v>-90185.94000000025</v>
      </c>
      <c r="K43" s="187"/>
      <c r="L43" s="165"/>
      <c r="M43" s="188"/>
      <c r="O43" s="514">
        <f aca="true" t="shared" si="65" ref="O43:AT43">O6+O8+O12+O17+O22+O24+O25+O26+O27+O33</f>
        <v>8520620</v>
      </c>
      <c r="P43" s="514">
        <f t="shared" si="65"/>
        <v>17916280</v>
      </c>
      <c r="Q43" s="514">
        <f t="shared" si="65"/>
        <v>39241410</v>
      </c>
      <c r="R43" s="514">
        <f t="shared" si="65"/>
        <v>8570320</v>
      </c>
      <c r="S43" s="514">
        <f t="shared" si="65"/>
        <v>11007440</v>
      </c>
      <c r="T43" s="536">
        <f t="shared" si="65"/>
        <v>11143030</v>
      </c>
      <c r="U43" s="343">
        <f t="shared" si="65"/>
        <v>3138325.3000000003</v>
      </c>
      <c r="V43" s="343">
        <f t="shared" si="65"/>
        <v>0</v>
      </c>
      <c r="W43" s="343">
        <f t="shared" si="65"/>
        <v>0</v>
      </c>
      <c r="X43" s="343">
        <f t="shared" si="65"/>
        <v>2906842.5700000003</v>
      </c>
      <c r="Y43" s="343">
        <f t="shared" si="65"/>
        <v>0</v>
      </c>
      <c r="Z43" s="343">
        <f t="shared" si="65"/>
        <v>0</v>
      </c>
      <c r="AA43" s="343">
        <f t="shared" si="65"/>
        <v>2917091.31</v>
      </c>
      <c r="AB43" s="343">
        <f t="shared" si="65"/>
        <v>0</v>
      </c>
      <c r="AC43" s="430">
        <f t="shared" si="65"/>
        <v>0</v>
      </c>
      <c r="AD43" s="343">
        <f t="shared" si="65"/>
        <v>8962259.179999998</v>
      </c>
      <c r="AE43" s="343">
        <f t="shared" si="65"/>
        <v>0</v>
      </c>
      <c r="AF43" s="343">
        <f t="shared" si="65"/>
        <v>0</v>
      </c>
      <c r="AG43" s="343">
        <f t="shared" si="65"/>
        <v>3112817.5900000003</v>
      </c>
      <c r="AH43" s="343">
        <f t="shared" si="65"/>
        <v>0</v>
      </c>
      <c r="AI43" s="343">
        <f t="shared" si="65"/>
        <v>0</v>
      </c>
      <c r="AJ43" s="343">
        <f t="shared" si="65"/>
        <v>3234117.48</v>
      </c>
      <c r="AK43" s="343">
        <f t="shared" si="65"/>
        <v>0</v>
      </c>
      <c r="AL43" s="343">
        <f t="shared" si="65"/>
        <v>0</v>
      </c>
      <c r="AM43" s="343">
        <f t="shared" si="65"/>
        <v>3299261.13</v>
      </c>
      <c r="AN43" s="343">
        <f t="shared" si="65"/>
        <v>0</v>
      </c>
      <c r="AO43" s="343">
        <f t="shared" si="65"/>
        <v>0</v>
      </c>
      <c r="AP43" s="343">
        <f t="shared" si="65"/>
        <v>9646196.200000003</v>
      </c>
      <c r="AQ43" s="343">
        <f t="shared" si="65"/>
        <v>0</v>
      </c>
      <c r="AR43" s="343">
        <f t="shared" si="65"/>
        <v>0</v>
      </c>
      <c r="AS43" s="343">
        <f t="shared" si="65"/>
        <v>3450152.83</v>
      </c>
      <c r="AT43" s="343">
        <f t="shared" si="65"/>
        <v>0</v>
      </c>
      <c r="AU43" s="434">
        <f aca="true" t="shared" si="66" ref="AU43:BV43">AU6+AU8+AU12+AU17+AU22+AU24+AU25+AU26+AU27+AU33</f>
        <v>0</v>
      </c>
      <c r="AV43" s="343">
        <f t="shared" si="66"/>
        <v>3372432.3400000003</v>
      </c>
      <c r="AW43" s="343">
        <f t="shared" si="66"/>
        <v>0</v>
      </c>
      <c r="AX43" s="343">
        <f t="shared" si="66"/>
        <v>0</v>
      </c>
      <c r="AY43" s="343">
        <f t="shared" si="66"/>
        <v>3243741.38</v>
      </c>
      <c r="AZ43" s="343">
        <f t="shared" si="66"/>
        <v>0</v>
      </c>
      <c r="BA43" s="343">
        <f t="shared" si="66"/>
        <v>0</v>
      </c>
      <c r="BB43" s="343">
        <f t="shared" si="66"/>
        <v>10066326.55</v>
      </c>
      <c r="BC43" s="343">
        <f t="shared" si="66"/>
        <v>0</v>
      </c>
      <c r="BD43" s="430">
        <f t="shared" si="66"/>
        <v>0</v>
      </c>
      <c r="BE43" s="430">
        <f t="shared" si="66"/>
        <v>3488833.000000001</v>
      </c>
      <c r="BF43" s="430">
        <f t="shared" si="66"/>
        <v>0</v>
      </c>
      <c r="BG43" s="430">
        <f t="shared" si="66"/>
        <v>0</v>
      </c>
      <c r="BH43" s="430">
        <f t="shared" si="66"/>
        <v>3539861.0599999996</v>
      </c>
      <c r="BI43" s="430">
        <f t="shared" si="66"/>
        <v>0</v>
      </c>
      <c r="BJ43" s="430">
        <f t="shared" si="66"/>
        <v>0</v>
      </c>
      <c r="BK43" s="430">
        <f t="shared" si="66"/>
        <v>0</v>
      </c>
      <c r="BL43" s="430">
        <f t="shared" si="66"/>
        <v>0</v>
      </c>
      <c r="BM43" s="430">
        <f t="shared" si="66"/>
        <v>0</v>
      </c>
      <c r="BN43" s="430">
        <f t="shared" si="66"/>
        <v>7028694.0600000005</v>
      </c>
      <c r="BO43" s="430">
        <f t="shared" si="66"/>
        <v>0</v>
      </c>
      <c r="BP43" s="343">
        <f t="shared" si="66"/>
        <v>0</v>
      </c>
      <c r="BQ43" s="343">
        <f t="shared" si="66"/>
        <v>39502133.519999996</v>
      </c>
      <c r="BR43" s="343">
        <f t="shared" si="66"/>
        <v>0</v>
      </c>
      <c r="BS43" s="343">
        <f t="shared" si="66"/>
        <v>0</v>
      </c>
      <c r="BT43" s="343">
        <f t="shared" si="66"/>
        <v>0</v>
      </c>
      <c r="BU43" s="343">
        <f t="shared" si="66"/>
        <v>-260723.52000000217</v>
      </c>
      <c r="BV43" s="158">
        <f t="shared" si="66"/>
        <v>0</v>
      </c>
      <c r="BW43" s="158"/>
      <c r="BX43" s="158"/>
      <c r="BY43" s="158"/>
      <c r="BZ43" s="158"/>
      <c r="CA43" s="158"/>
      <c r="CB43" s="158">
        <f>CB6+CB8+CB12+CB17+CB22+CB24+CB25+CB26+CB27+CB33</f>
        <v>2810000</v>
      </c>
      <c r="CC43" s="559">
        <f>CC6+CC8+CC12+CC17+CC22+CC24+CC25+CC26+CC27+CC33</f>
        <v>3273000</v>
      </c>
      <c r="CD43" s="559">
        <f>CD6+CD8+CD12+CD17+CD22+CD24+CD25+CD26+CD27+CD33</f>
        <v>3271000</v>
      </c>
    </row>
    <row r="44" spans="1:82" s="41" customFormat="1" ht="13.5" customHeight="1" thickBot="1">
      <c r="A44" s="40"/>
      <c r="B44" s="23"/>
      <c r="C44" s="79"/>
      <c r="D44" s="37"/>
      <c r="E44" s="67">
        <f>E42+E43</f>
        <v>41523222.08</v>
      </c>
      <c r="F44" s="67">
        <f>F42+F43</f>
        <v>13454033.18</v>
      </c>
      <c r="G44" s="159">
        <f>G42+G43</f>
        <v>14958796.37</v>
      </c>
      <c r="H44" s="67">
        <f>H42+H43</f>
        <v>105906.81999999937</v>
      </c>
      <c r="I44" s="67">
        <f>I42+I43</f>
        <v>-87079.94000000025</v>
      </c>
      <c r="J44" s="398"/>
      <c r="K44" s="129"/>
      <c r="L44" s="165"/>
      <c r="N44" s="287"/>
      <c r="O44" s="515"/>
      <c r="P44" s="515"/>
      <c r="Q44" s="515"/>
      <c r="R44" s="515"/>
      <c r="S44" s="515"/>
      <c r="T44" s="537"/>
      <c r="U44" s="344"/>
      <c r="V44" s="344"/>
      <c r="W44" s="344"/>
      <c r="X44" s="344"/>
      <c r="Y44" s="344"/>
      <c r="Z44" s="344"/>
      <c r="AA44" s="344"/>
      <c r="AB44" s="344"/>
      <c r="AC44" s="431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344"/>
      <c r="AQ44" s="344"/>
      <c r="AR44" s="344"/>
      <c r="AS44" s="344"/>
      <c r="AT44" s="344"/>
      <c r="AU44" s="435"/>
      <c r="AV44" s="344"/>
      <c r="AW44" s="344"/>
      <c r="AX44" s="344"/>
      <c r="AY44" s="344"/>
      <c r="AZ44" s="344"/>
      <c r="BA44" s="344"/>
      <c r="BB44" s="344"/>
      <c r="BC44" s="344"/>
      <c r="BD44" s="431"/>
      <c r="BE44" s="431"/>
      <c r="BF44" s="431"/>
      <c r="BG44" s="431"/>
      <c r="BH44" s="431"/>
      <c r="BI44" s="431"/>
      <c r="BJ44" s="431"/>
      <c r="BK44" s="431"/>
      <c r="BL44" s="431"/>
      <c r="BM44" s="431"/>
      <c r="BN44" s="431"/>
      <c r="BO44" s="431"/>
      <c r="BP44" s="344"/>
      <c r="BQ44" s="344"/>
      <c r="BR44" s="344"/>
      <c r="BS44" s="344"/>
      <c r="BT44" s="344"/>
      <c r="BU44" s="344"/>
      <c r="BV44" s="159"/>
      <c r="BW44" s="159"/>
      <c r="BX44" s="159"/>
      <c r="BY44" s="159"/>
      <c r="BZ44" s="159"/>
      <c r="CA44" s="159"/>
      <c r="CB44" s="159"/>
      <c r="CC44" s="560"/>
      <c r="CD44" s="560"/>
    </row>
    <row r="45" spans="1:82" s="13" customFormat="1" ht="18" customHeight="1" thickBot="1">
      <c r="A45" s="727" t="s">
        <v>90</v>
      </c>
      <c r="B45" s="728"/>
      <c r="C45" s="80">
        <f>C5+C11+C14+C21+C23+C30+C31+C34</f>
        <v>13559940</v>
      </c>
      <c r="D45" s="36"/>
      <c r="E45" s="33">
        <f>E5+E11+E14+E21+E23+E30+E31+E34</f>
        <v>13365012.139999999</v>
      </c>
      <c r="F45" s="33">
        <f>F5+F11+F14+F21+F23+F30+F31+F34</f>
        <v>13454033.18</v>
      </c>
      <c r="G45" s="150">
        <f>G5+G11+G14+G21+G23+G30+G31+G34</f>
        <v>14930424.75</v>
      </c>
      <c r="H45" s="33">
        <f>H5+H11+H14+H21+H23+H30+H31+H34</f>
        <v>105906.81999999937</v>
      </c>
      <c r="I45" s="33">
        <f>I5+I11+I14+I21+I23+I30+I31+I34</f>
        <v>0</v>
      </c>
      <c r="J45" s="399"/>
      <c r="K45" s="189"/>
      <c r="L45" s="165"/>
      <c r="M45" s="190"/>
      <c r="N45" s="288"/>
      <c r="O45" s="516">
        <f aca="true" t="shared" si="67" ref="O45:AT45">O5+O9+O11+O21+O23+O32+O34</f>
        <v>3303700</v>
      </c>
      <c r="P45" s="516">
        <f t="shared" si="67"/>
        <v>7942450</v>
      </c>
      <c r="Q45" s="516">
        <f t="shared" si="67"/>
        <v>11702170</v>
      </c>
      <c r="R45" s="516">
        <f t="shared" si="67"/>
        <v>2111170</v>
      </c>
      <c r="S45" s="516">
        <f t="shared" si="67"/>
        <v>4064960</v>
      </c>
      <c r="T45" s="538">
        <f t="shared" si="67"/>
        <v>2222340</v>
      </c>
      <c r="U45" s="345">
        <f t="shared" si="67"/>
        <v>945025.8199999998</v>
      </c>
      <c r="V45" s="345">
        <f t="shared" si="67"/>
        <v>347118.67</v>
      </c>
      <c r="W45" s="345">
        <f t="shared" si="67"/>
        <v>310910.12</v>
      </c>
      <c r="X45" s="345">
        <f t="shared" si="67"/>
        <v>852358.2599999999</v>
      </c>
      <c r="Y45" s="345">
        <f t="shared" si="67"/>
        <v>1199934.48</v>
      </c>
      <c r="Z45" s="345">
        <f t="shared" si="67"/>
        <v>663206.13</v>
      </c>
      <c r="AA45" s="345">
        <f t="shared" si="67"/>
        <v>885327.5700000001</v>
      </c>
      <c r="AB45" s="345">
        <f t="shared" si="67"/>
        <v>405669.42000000004</v>
      </c>
      <c r="AC45" s="432">
        <f t="shared" si="67"/>
        <v>376078.23</v>
      </c>
      <c r="AD45" s="345">
        <f t="shared" si="67"/>
        <v>2682711.6500000004</v>
      </c>
      <c r="AE45" s="345">
        <f t="shared" si="67"/>
        <v>1952722.5699999996</v>
      </c>
      <c r="AF45" s="345">
        <f t="shared" si="67"/>
        <v>1350194.48</v>
      </c>
      <c r="AG45" s="345">
        <f t="shared" si="67"/>
        <v>902859.1499999999</v>
      </c>
      <c r="AH45" s="345">
        <f t="shared" si="67"/>
        <v>315505.74999999994</v>
      </c>
      <c r="AI45" s="345">
        <f t="shared" si="67"/>
        <v>1199922.8599999999</v>
      </c>
      <c r="AJ45" s="345">
        <f t="shared" si="67"/>
        <v>1038022.0499999999</v>
      </c>
      <c r="AK45" s="345">
        <f t="shared" si="67"/>
        <v>2036440.18</v>
      </c>
      <c r="AL45" s="345">
        <f t="shared" si="67"/>
        <v>405705.15</v>
      </c>
      <c r="AM45" s="345">
        <f t="shared" si="67"/>
        <v>985449.7200000001</v>
      </c>
      <c r="AN45" s="345">
        <f t="shared" si="67"/>
        <v>906038.55</v>
      </c>
      <c r="AO45" s="345">
        <f t="shared" si="67"/>
        <v>315505.74999999994</v>
      </c>
      <c r="AP45" s="345">
        <f t="shared" si="67"/>
        <v>2926330.92</v>
      </c>
      <c r="AQ45" s="345">
        <f t="shared" si="67"/>
        <v>3257984.48</v>
      </c>
      <c r="AR45" s="345">
        <f t="shared" si="67"/>
        <v>1921133.7599999998</v>
      </c>
      <c r="AS45" s="345">
        <f t="shared" si="67"/>
        <v>915691.6699999999</v>
      </c>
      <c r="AT45" s="345">
        <f t="shared" si="67"/>
        <v>891151.7000000001</v>
      </c>
      <c r="AU45" s="436">
        <f aca="true" t="shared" si="68" ref="AU45:BV45">AU5+AU9+AU11+AU21+AU23+AU32+AU34</f>
        <v>2036440.18</v>
      </c>
      <c r="AV45" s="345">
        <f t="shared" si="68"/>
        <v>959769.5399999999</v>
      </c>
      <c r="AW45" s="345">
        <f t="shared" si="68"/>
        <v>756997.95</v>
      </c>
      <c r="AX45" s="345">
        <f t="shared" si="68"/>
        <v>529965.61</v>
      </c>
      <c r="AY45" s="345">
        <f t="shared" si="68"/>
        <v>771605.6599999999</v>
      </c>
      <c r="AZ45" s="345">
        <f t="shared" si="68"/>
        <v>885868.3600000001</v>
      </c>
      <c r="BA45" s="345">
        <f t="shared" si="68"/>
        <v>1267217.2000000002</v>
      </c>
      <c r="BB45" s="345">
        <f t="shared" si="68"/>
        <v>2647066.869999999</v>
      </c>
      <c r="BC45" s="345">
        <f t="shared" si="68"/>
        <v>2534018.0100000002</v>
      </c>
      <c r="BD45" s="432">
        <f t="shared" si="68"/>
        <v>3833622.9899999998</v>
      </c>
      <c r="BE45" s="432">
        <f t="shared" si="68"/>
        <v>1076180.8199999998</v>
      </c>
      <c r="BF45" s="432">
        <f t="shared" si="68"/>
        <v>1348144.24</v>
      </c>
      <c r="BG45" s="432">
        <f t="shared" si="68"/>
        <v>756992.6100000001</v>
      </c>
      <c r="BH45" s="432">
        <f t="shared" si="68"/>
        <v>889682.2</v>
      </c>
      <c r="BI45" s="432">
        <f t="shared" si="68"/>
        <v>627453.3899999999</v>
      </c>
      <c r="BJ45" s="432">
        <f t="shared" si="68"/>
        <v>877084.58</v>
      </c>
      <c r="BK45" s="432">
        <f t="shared" si="68"/>
        <v>0</v>
      </c>
      <c r="BL45" s="432">
        <f t="shared" si="68"/>
        <v>0</v>
      </c>
      <c r="BM45" s="432">
        <f t="shared" si="68"/>
        <v>212364.05</v>
      </c>
      <c r="BN45" s="432">
        <f t="shared" si="68"/>
        <v>1965863.0200000003</v>
      </c>
      <c r="BO45" s="432">
        <f t="shared" si="68"/>
        <v>1975597.63</v>
      </c>
      <c r="BP45" s="345">
        <f t="shared" si="68"/>
        <v>1846441.24</v>
      </c>
      <c r="BQ45" s="345">
        <f t="shared" si="68"/>
        <v>11117896.250000002</v>
      </c>
      <c r="BR45" s="345">
        <f t="shared" si="68"/>
        <v>11282245.58</v>
      </c>
      <c r="BS45" s="345">
        <f t="shared" si="68"/>
        <v>8951432.04</v>
      </c>
      <c r="BT45" s="345">
        <f t="shared" si="68"/>
        <v>419924.42000000004</v>
      </c>
      <c r="BU45" s="345">
        <f t="shared" si="68"/>
        <v>0</v>
      </c>
      <c r="BV45" s="150">
        <f t="shared" si="68"/>
        <v>2745268.1199999996</v>
      </c>
      <c r="BW45" s="150"/>
      <c r="BX45" s="150"/>
      <c r="BY45" s="150"/>
      <c r="BZ45" s="150"/>
      <c r="CA45" s="150"/>
      <c r="CB45" s="150">
        <f>CB5+CB9+CB11+CB21+CB23+CB32+CB34</f>
        <v>43050</v>
      </c>
      <c r="CC45" s="561">
        <f>CC5+CC9+CC11+CC21+CC23+CC32+CC34</f>
        <v>976000</v>
      </c>
      <c r="CD45" s="561">
        <f>CD5+CD9+CD11+CD21+CD23+CD32+CD34</f>
        <v>974000</v>
      </c>
    </row>
    <row r="46" spans="1:82" s="26" customFormat="1" ht="42" customHeight="1">
      <c r="A46" s="729" t="s">
        <v>38</v>
      </c>
      <c r="B46" s="729"/>
      <c r="C46" s="729"/>
      <c r="D46" s="729"/>
      <c r="E46" s="729"/>
      <c r="F46" s="729"/>
      <c r="G46" s="729"/>
      <c r="H46" s="729"/>
      <c r="I46" s="729"/>
      <c r="J46" s="130"/>
      <c r="K46" s="130"/>
      <c r="L46" s="166"/>
      <c r="N46" s="96"/>
      <c r="O46" s="226"/>
      <c r="P46" s="220"/>
      <c r="Q46" s="541"/>
      <c r="R46" s="220"/>
      <c r="S46" s="220"/>
      <c r="T46" s="220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W46" s="408"/>
      <c r="BX46" s="415"/>
      <c r="BY46" s="467"/>
      <c r="BZ46" s="507"/>
      <c r="CA46" s="467"/>
      <c r="CB46" s="521"/>
      <c r="CC46" s="218"/>
      <c r="CD46" s="218"/>
    </row>
    <row r="47" ht="15.75">
      <c r="CA47" s="539">
        <v>43496</v>
      </c>
    </row>
  </sheetData>
  <sheetProtection/>
  <mergeCells count="22">
    <mergeCell ref="A45:B45"/>
    <mergeCell ref="A46:I46"/>
    <mergeCell ref="A34:B34"/>
    <mergeCell ref="A35:B35"/>
    <mergeCell ref="A38:B38"/>
    <mergeCell ref="A42:B42"/>
    <mergeCell ref="A36:B36"/>
    <mergeCell ref="A37:B37"/>
    <mergeCell ref="A18:B18"/>
    <mergeCell ref="A19:A20"/>
    <mergeCell ref="A21:B21"/>
    <mergeCell ref="A22:A27"/>
    <mergeCell ref="A28:B28"/>
    <mergeCell ref="A29:A31"/>
    <mergeCell ref="A32:B32"/>
    <mergeCell ref="A33:B33"/>
    <mergeCell ref="A11:A12"/>
    <mergeCell ref="A14:A16"/>
    <mergeCell ref="A3:D3"/>
    <mergeCell ref="A5:A6"/>
    <mergeCell ref="A7:B7"/>
    <mergeCell ref="A10:B10"/>
  </mergeCells>
  <printOptions/>
  <pageMargins left="0.64" right="0.2" top="0.24" bottom="0.23" header="0.2" footer="0.21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47"/>
  <sheetViews>
    <sheetView workbookViewId="0" topLeftCell="A1">
      <selection activeCell="CC4" sqref="CC4"/>
    </sheetView>
  </sheetViews>
  <sheetFormatPr defaultColWidth="9.140625" defaultRowHeight="12.75"/>
  <cols>
    <col min="1" max="1" width="14.140625" style="18" customWidth="1"/>
    <col min="2" max="2" width="22.7109375" style="19" customWidth="1"/>
    <col min="3" max="3" width="13.8515625" style="74" hidden="1" customWidth="1"/>
    <col min="4" max="4" width="13.28125" style="9" hidden="1" customWidth="1"/>
    <col min="5" max="5" width="12.57421875" style="27" hidden="1" customWidth="1"/>
    <col min="6" max="6" width="12.8515625" style="27" hidden="1" customWidth="1"/>
    <col min="7" max="7" width="11.28125" style="127" hidden="1" customWidth="1"/>
    <col min="8" max="8" width="10.7109375" style="28" hidden="1" customWidth="1"/>
    <col min="9" max="9" width="10.8515625" style="28" hidden="1" customWidth="1"/>
    <col min="10" max="10" width="9.8515625" style="127" customWidth="1"/>
    <col min="11" max="11" width="11.7109375" style="127" hidden="1" customWidth="1"/>
    <col min="12" max="12" width="9.421875" style="161" hidden="1" customWidth="1"/>
    <col min="13" max="13" width="10.140625" style="10" hidden="1" customWidth="1"/>
    <col min="14" max="14" width="10.140625" style="28" hidden="1" customWidth="1"/>
    <col min="15" max="15" width="14.00390625" style="221" hidden="1" customWidth="1"/>
    <col min="16" max="16" width="1.8515625" style="219" hidden="1" customWidth="1"/>
    <col min="17" max="17" width="20.7109375" style="219" customWidth="1"/>
    <col min="18" max="18" width="11.28125" style="219" hidden="1" customWidth="1"/>
    <col min="19" max="19" width="12.28125" style="219" hidden="1" customWidth="1"/>
    <col min="20" max="20" width="11.28125" style="219" hidden="1" customWidth="1"/>
    <col min="21" max="21" width="12.7109375" style="27" hidden="1" customWidth="1"/>
    <col min="22" max="23" width="10.140625" style="27" hidden="1" customWidth="1"/>
    <col min="24" max="25" width="11.7109375" style="27" hidden="1" customWidth="1"/>
    <col min="26" max="26" width="10.140625" style="27" hidden="1" customWidth="1"/>
    <col min="27" max="27" width="11.7109375" style="27" hidden="1" customWidth="1"/>
    <col min="28" max="29" width="10.140625" style="27" hidden="1" customWidth="1"/>
    <col min="30" max="30" width="12.7109375" style="27" hidden="1" customWidth="1"/>
    <col min="31" max="33" width="11.7109375" style="27" hidden="1" customWidth="1"/>
    <col min="34" max="34" width="10.140625" style="27" hidden="1" customWidth="1"/>
    <col min="35" max="37" width="11.7109375" style="27" hidden="1" customWidth="1"/>
    <col min="38" max="38" width="10.140625" style="27" hidden="1" customWidth="1"/>
    <col min="39" max="39" width="11.7109375" style="27" hidden="1" customWidth="1"/>
    <col min="40" max="41" width="10.140625" style="27" hidden="1" customWidth="1"/>
    <col min="42" max="42" width="12.7109375" style="27" hidden="1" customWidth="1"/>
    <col min="43" max="45" width="11.7109375" style="27" hidden="1" customWidth="1"/>
    <col min="46" max="46" width="10.140625" style="27" hidden="1" customWidth="1"/>
    <col min="47" max="48" width="11.7109375" style="27" hidden="1" customWidth="1"/>
    <col min="49" max="50" width="10.140625" style="27" hidden="1" customWidth="1"/>
    <col min="51" max="51" width="11.7109375" style="27" hidden="1" customWidth="1"/>
    <col min="52" max="52" width="10.140625" style="27" hidden="1" customWidth="1"/>
    <col min="53" max="53" width="11.7109375" style="27" hidden="1" customWidth="1"/>
    <col min="54" max="54" width="12.7109375" style="27" hidden="1" customWidth="1"/>
    <col min="55" max="57" width="11.7109375" style="27" hidden="1" customWidth="1"/>
    <col min="58" max="58" width="12.28125" style="27" hidden="1" customWidth="1"/>
    <col min="59" max="59" width="10.140625" style="27" hidden="1" customWidth="1"/>
    <col min="60" max="60" width="11.7109375" style="27" hidden="1" customWidth="1"/>
    <col min="61" max="62" width="10.140625" style="27" hidden="1" customWidth="1"/>
    <col min="63" max="63" width="9.140625" style="27" hidden="1" customWidth="1"/>
    <col min="64" max="64" width="8.00390625" style="27" hidden="1" customWidth="1"/>
    <col min="65" max="65" width="10.140625" style="27" hidden="1" customWidth="1"/>
    <col min="66" max="68" width="11.7109375" style="27" hidden="1" customWidth="1"/>
    <col min="69" max="69" width="12.7109375" style="10" bestFit="1" customWidth="1"/>
    <col min="70" max="71" width="11.7109375" style="10" bestFit="1" customWidth="1"/>
    <col min="72" max="72" width="12.8515625" style="10" bestFit="1" customWidth="1"/>
    <col min="73" max="73" width="13.57421875" style="10" customWidth="1"/>
    <col min="74" max="74" width="15.421875" style="10" customWidth="1"/>
    <col min="75" max="75" width="8.7109375" style="402" customWidth="1"/>
    <col min="76" max="76" width="10.57421875" style="161" hidden="1" customWidth="1"/>
    <col min="77" max="77" width="10.421875" style="427" hidden="1" customWidth="1"/>
    <col min="78" max="78" width="10.140625" style="9" hidden="1" customWidth="1"/>
    <col min="79" max="79" width="9.8515625" style="427" customWidth="1"/>
    <col min="80" max="80" width="10.28125" style="517" hidden="1" customWidth="1"/>
    <col min="81" max="81" width="19.421875" style="204" customWidth="1"/>
    <col min="82" max="16384" width="9.140625" style="10" customWidth="1"/>
  </cols>
  <sheetData>
    <row r="1" spans="1:12" ht="13.5" customHeight="1">
      <c r="A1" s="43" t="s">
        <v>1</v>
      </c>
      <c r="B1" s="43"/>
      <c r="C1" s="73"/>
      <c r="D1" s="44"/>
      <c r="L1" s="160"/>
    </row>
    <row r="2" ht="15.75" customHeight="1"/>
    <row r="3" spans="1:12" ht="15.75" customHeight="1" thickBot="1">
      <c r="A3" s="722" t="s">
        <v>66</v>
      </c>
      <c r="B3" s="722"/>
      <c r="C3" s="722"/>
      <c r="D3" s="722"/>
      <c r="L3" s="162"/>
    </row>
    <row r="4" spans="1:81" s="18" customFormat="1" ht="56.25" customHeight="1" thickBot="1">
      <c r="A4" s="20" t="s">
        <v>2</v>
      </c>
      <c r="B4" s="21" t="s">
        <v>3</v>
      </c>
      <c r="C4" s="135" t="s">
        <v>44</v>
      </c>
      <c r="D4" s="45" t="s">
        <v>40</v>
      </c>
      <c r="E4" s="112" t="s">
        <v>50</v>
      </c>
      <c r="F4" s="113" t="s">
        <v>51</v>
      </c>
      <c r="G4" s="144" t="s">
        <v>60</v>
      </c>
      <c r="H4" s="142" t="s">
        <v>48</v>
      </c>
      <c r="I4" s="290" t="s">
        <v>49</v>
      </c>
      <c r="J4" s="383" t="s">
        <v>88</v>
      </c>
      <c r="K4" s="339" t="s">
        <v>54</v>
      </c>
      <c r="L4" s="340" t="s">
        <v>42</v>
      </c>
      <c r="M4" s="341" t="s">
        <v>62</v>
      </c>
      <c r="N4" s="289" t="s">
        <v>69</v>
      </c>
      <c r="O4" s="337" t="s">
        <v>63</v>
      </c>
      <c r="P4" s="337" t="s">
        <v>64</v>
      </c>
      <c r="Q4" s="346" t="s">
        <v>93</v>
      </c>
      <c r="R4" s="375" t="s">
        <v>94</v>
      </c>
      <c r="S4" s="375" t="s">
        <v>95</v>
      </c>
      <c r="T4" s="346" t="s">
        <v>96</v>
      </c>
      <c r="U4" s="294" t="s">
        <v>70</v>
      </c>
      <c r="V4" s="295" t="s">
        <v>71</v>
      </c>
      <c r="W4" s="306" t="s">
        <v>72</v>
      </c>
      <c r="X4" s="294" t="s">
        <v>73</v>
      </c>
      <c r="Y4" s="295" t="s">
        <v>74</v>
      </c>
      <c r="Z4" s="296" t="s">
        <v>75</v>
      </c>
      <c r="AA4" s="294" t="s">
        <v>82</v>
      </c>
      <c r="AB4" s="295" t="s">
        <v>83</v>
      </c>
      <c r="AC4" s="306" t="s">
        <v>84</v>
      </c>
      <c r="AD4" s="445" t="s">
        <v>86</v>
      </c>
      <c r="AE4" s="446" t="s">
        <v>85</v>
      </c>
      <c r="AF4" s="447" t="s">
        <v>87</v>
      </c>
      <c r="AG4" s="441" t="s">
        <v>97</v>
      </c>
      <c r="AH4" s="442" t="s">
        <v>98</v>
      </c>
      <c r="AI4" s="444" t="s">
        <v>99</v>
      </c>
      <c r="AJ4" s="441" t="s">
        <v>100</v>
      </c>
      <c r="AK4" s="442" t="s">
        <v>101</v>
      </c>
      <c r="AL4" s="443" t="s">
        <v>102</v>
      </c>
      <c r="AM4" s="441" t="s">
        <v>103</v>
      </c>
      <c r="AN4" s="442" t="s">
        <v>104</v>
      </c>
      <c r="AO4" s="443" t="s">
        <v>105</v>
      </c>
      <c r="AP4" s="460" t="s">
        <v>106</v>
      </c>
      <c r="AQ4" s="461" t="s">
        <v>107</v>
      </c>
      <c r="AR4" s="481" t="s">
        <v>108</v>
      </c>
      <c r="AS4" s="441" t="s">
        <v>109</v>
      </c>
      <c r="AT4" s="443" t="s">
        <v>110</v>
      </c>
      <c r="AU4" s="501" t="s">
        <v>111</v>
      </c>
      <c r="AV4" s="441" t="s">
        <v>112</v>
      </c>
      <c r="AW4" s="442" t="s">
        <v>113</v>
      </c>
      <c r="AX4" s="443" t="s">
        <v>114</v>
      </c>
      <c r="AY4" s="441" t="s">
        <v>115</v>
      </c>
      <c r="AZ4" s="442" t="s">
        <v>116</v>
      </c>
      <c r="BA4" s="443" t="s">
        <v>117</v>
      </c>
      <c r="BB4" s="460" t="s">
        <v>118</v>
      </c>
      <c r="BC4" s="461" t="s">
        <v>119</v>
      </c>
      <c r="BD4" s="481" t="s">
        <v>120</v>
      </c>
      <c r="BE4" s="294" t="s">
        <v>126</v>
      </c>
      <c r="BF4" s="295" t="s">
        <v>127</v>
      </c>
      <c r="BG4" s="296" t="s">
        <v>128</v>
      </c>
      <c r="BH4" s="294" t="s">
        <v>129</v>
      </c>
      <c r="BI4" s="295" t="s">
        <v>130</v>
      </c>
      <c r="BJ4" s="296" t="s">
        <v>131</v>
      </c>
      <c r="BK4" s="294" t="s">
        <v>132</v>
      </c>
      <c r="BL4" s="295" t="s">
        <v>133</v>
      </c>
      <c r="BM4" s="296" t="s">
        <v>134</v>
      </c>
      <c r="BN4" s="524" t="s">
        <v>135</v>
      </c>
      <c r="BO4" s="525" t="s">
        <v>136</v>
      </c>
      <c r="BP4" s="526" t="s">
        <v>137</v>
      </c>
      <c r="BQ4" s="112" t="s">
        <v>142</v>
      </c>
      <c r="BR4" s="113" t="s">
        <v>143</v>
      </c>
      <c r="BS4" s="357" t="s">
        <v>144</v>
      </c>
      <c r="BT4" s="527" t="s">
        <v>79</v>
      </c>
      <c r="BU4" s="143" t="s">
        <v>80</v>
      </c>
      <c r="BV4" s="323" t="s">
        <v>145</v>
      </c>
      <c r="BW4" s="371" t="s">
        <v>69</v>
      </c>
      <c r="BX4" s="409" t="s">
        <v>92</v>
      </c>
      <c r="BY4" s="487" t="s">
        <v>123</v>
      </c>
      <c r="BZ4" s="528" t="s">
        <v>122</v>
      </c>
      <c r="CA4" s="540" t="s">
        <v>124</v>
      </c>
      <c r="CB4" s="531" t="s">
        <v>125</v>
      </c>
      <c r="CC4" s="545" t="s">
        <v>146</v>
      </c>
    </row>
    <row r="5" spans="1:81" s="1" customFormat="1" ht="18.75" customHeight="1">
      <c r="A5" s="716" t="s">
        <v>7</v>
      </c>
      <c r="B5" s="7" t="s">
        <v>4</v>
      </c>
      <c r="C5" s="81">
        <f>2843980+8400000+300000+300000</f>
        <v>11843980</v>
      </c>
      <c r="D5" s="48">
        <v>2085176</v>
      </c>
      <c r="E5" s="102">
        <v>11608682.78</v>
      </c>
      <c r="F5" s="103">
        <v>11742482.05</v>
      </c>
      <c r="G5" s="145">
        <v>13080765.34</v>
      </c>
      <c r="H5" s="136">
        <v>101497.94999999925</v>
      </c>
      <c r="I5" s="97"/>
      <c r="J5" s="384">
        <v>2219496.19</v>
      </c>
      <c r="K5" s="258">
        <v>967390.2316666666</v>
      </c>
      <c r="L5" s="176"/>
      <c r="M5" s="194"/>
      <c r="N5" s="291"/>
      <c r="O5" s="232">
        <v>2697650</v>
      </c>
      <c r="P5" s="242">
        <v>5525420</v>
      </c>
      <c r="Q5" s="249">
        <f>O5+R5+S5+T5</f>
        <v>8223070</v>
      </c>
      <c r="R5" s="242">
        <f>2900000-1500000</f>
        <v>1400000</v>
      </c>
      <c r="S5" s="242">
        <v>2625420</v>
      </c>
      <c r="T5" s="242">
        <f>1500000</f>
        <v>1500000</v>
      </c>
      <c r="U5" s="307">
        <v>810230.7</v>
      </c>
      <c r="V5" s="308">
        <v>292736.3</v>
      </c>
      <c r="W5" s="309">
        <v>82025.8</v>
      </c>
      <c r="X5" s="307">
        <v>709466.35</v>
      </c>
      <c r="Y5" s="308">
        <v>919177.87</v>
      </c>
      <c r="Z5" s="309">
        <v>538145.91</v>
      </c>
      <c r="AA5" s="307">
        <v>685852.31</v>
      </c>
      <c r="AB5" s="308">
        <v>282981.48</v>
      </c>
      <c r="AC5" s="309">
        <v>321695.86</v>
      </c>
      <c r="AD5" s="102">
        <f aca="true" t="shared" si="0" ref="AD5:AF6">U5+X5+AA5</f>
        <v>2205549.36</v>
      </c>
      <c r="AE5" s="103">
        <f t="shared" si="0"/>
        <v>1494895.65</v>
      </c>
      <c r="AF5" s="448">
        <f t="shared" si="0"/>
        <v>941867.5700000001</v>
      </c>
      <c r="AG5" s="327">
        <v>708392.2</v>
      </c>
      <c r="AH5" s="328">
        <v>182697.11</v>
      </c>
      <c r="AI5" s="334">
        <v>919177.99</v>
      </c>
      <c r="AJ5" s="327">
        <v>824493.56</v>
      </c>
      <c r="AK5" s="328">
        <v>1629743.62</v>
      </c>
      <c r="AL5" s="440">
        <v>283005.47</v>
      </c>
      <c r="AM5" s="327">
        <v>729864.23</v>
      </c>
      <c r="AN5" s="328">
        <v>743406.3</v>
      </c>
      <c r="AO5" s="440">
        <v>182697.11</v>
      </c>
      <c r="AP5" s="267">
        <f aca="true" t="shared" si="1" ref="AP5:AR6">AG5+AJ5+AM5</f>
        <v>2262749.99</v>
      </c>
      <c r="AQ5" s="268">
        <f t="shared" si="1"/>
        <v>2555847.0300000003</v>
      </c>
      <c r="AR5" s="482">
        <f t="shared" si="1"/>
        <v>1384880.5699999998</v>
      </c>
      <c r="AS5" s="327">
        <v>707415.07</v>
      </c>
      <c r="AT5" s="440">
        <v>369828.74</v>
      </c>
      <c r="AU5" s="502">
        <v>1629743.62</v>
      </c>
      <c r="AV5" s="327">
        <v>717364.83</v>
      </c>
      <c r="AW5" s="328">
        <v>655534.99</v>
      </c>
      <c r="AX5" s="440">
        <v>367334.24</v>
      </c>
      <c r="AY5" s="327">
        <v>557660.2</v>
      </c>
      <c r="AZ5" s="328">
        <v>714958.8</v>
      </c>
      <c r="BA5" s="440">
        <v>745900.8</v>
      </c>
      <c r="BB5" s="267">
        <f aca="true" t="shared" si="2" ref="BB5:BD6">AS5+AV5+AY5</f>
        <v>1982440.0999999999</v>
      </c>
      <c r="BC5" s="268">
        <f t="shared" si="2"/>
        <v>1740322.53</v>
      </c>
      <c r="BD5" s="462">
        <f t="shared" si="2"/>
        <v>2742978.66</v>
      </c>
      <c r="BE5" s="307">
        <v>756278.24</v>
      </c>
      <c r="BF5" s="308">
        <v>1013564.68</v>
      </c>
      <c r="BG5" s="310">
        <v>655534.18</v>
      </c>
      <c r="BH5" s="307">
        <v>597177</v>
      </c>
      <c r="BI5" s="308">
        <v>201504.74</v>
      </c>
      <c r="BJ5" s="310">
        <v>714959.61</v>
      </c>
      <c r="BK5" s="307"/>
      <c r="BL5" s="308"/>
      <c r="BM5" s="309"/>
      <c r="BN5" s="307">
        <f aca="true" t="shared" si="3" ref="BN5:BP6">BE5+BH5+BK5</f>
        <v>1353455.24</v>
      </c>
      <c r="BO5" s="308">
        <f t="shared" si="3"/>
        <v>1215069.42</v>
      </c>
      <c r="BP5" s="309">
        <f t="shared" si="3"/>
        <v>1370493.79</v>
      </c>
      <c r="BQ5" s="358">
        <f aca="true" t="shared" si="4" ref="BQ5:BS6">AD5+AP5+BB5+BN5</f>
        <v>7804194.6899999995</v>
      </c>
      <c r="BR5" s="359">
        <f t="shared" si="4"/>
        <v>7006134.63</v>
      </c>
      <c r="BS5" s="418">
        <f t="shared" si="4"/>
        <v>6440220.59</v>
      </c>
      <c r="BT5" s="484">
        <f>Q5-BR5</f>
        <v>1216935.37</v>
      </c>
      <c r="BU5" s="355"/>
      <c r="BV5" s="510">
        <f>J5+BR5-BQ5+36640.85-33969.85+6845.55</f>
        <v>1430952.6800000009</v>
      </c>
      <c r="BW5" s="403"/>
      <c r="BX5" s="468">
        <v>-1202754.35</v>
      </c>
      <c r="BY5" s="488">
        <f>BR5-BZ5</f>
        <v>283064.6299999999</v>
      </c>
      <c r="BZ5" s="529">
        <f aca="true" t="shared" si="5" ref="BZ5:BZ37">O5+R5+S5</f>
        <v>6723070</v>
      </c>
      <c r="CA5" s="133">
        <f aca="true" t="shared" si="6" ref="CA5:CA37">BQ5/11</f>
        <v>709472.2445454545</v>
      </c>
      <c r="CB5" s="476">
        <v>0</v>
      </c>
      <c r="CC5" s="546">
        <v>682000</v>
      </c>
    </row>
    <row r="6" spans="1:81" s="1" customFormat="1" ht="18.75" customHeight="1" thickBot="1">
      <c r="A6" s="717"/>
      <c r="B6" s="22" t="s">
        <v>5</v>
      </c>
      <c r="C6" s="85">
        <f>2550000+7472360-300000</f>
        <v>9722360</v>
      </c>
      <c r="D6" s="52"/>
      <c r="E6" s="106">
        <v>9768801.15</v>
      </c>
      <c r="F6" s="107">
        <v>0</v>
      </c>
      <c r="G6" s="151">
        <v>0</v>
      </c>
      <c r="H6" s="139"/>
      <c r="I6" s="99">
        <v>-46441.15000000037</v>
      </c>
      <c r="J6" s="385"/>
      <c r="K6" s="257">
        <v>814066.7625000001</v>
      </c>
      <c r="L6" s="177">
        <v>84020</v>
      </c>
      <c r="M6" s="193"/>
      <c r="N6" s="291"/>
      <c r="O6" s="233">
        <v>2700000</v>
      </c>
      <c r="P6" s="243">
        <v>5000000</v>
      </c>
      <c r="Q6" s="249">
        <f>O6+R6+S6+T6</f>
        <v>9559010</v>
      </c>
      <c r="R6" s="243">
        <f>2500000-900000</f>
        <v>1600000</v>
      </c>
      <c r="S6" s="243">
        <v>2500000</v>
      </c>
      <c r="T6" s="243">
        <f>900000+683650+461770+213590+500000</f>
        <v>2759010</v>
      </c>
      <c r="U6" s="311">
        <v>888954.14</v>
      </c>
      <c r="V6" s="312"/>
      <c r="W6" s="313"/>
      <c r="X6" s="311">
        <v>796922.01</v>
      </c>
      <c r="Y6" s="312"/>
      <c r="Z6" s="313"/>
      <c r="AA6" s="311">
        <v>734838.36</v>
      </c>
      <c r="AB6" s="312"/>
      <c r="AC6" s="313"/>
      <c r="AD6" s="104">
        <f t="shared" si="0"/>
        <v>2420714.51</v>
      </c>
      <c r="AE6" s="105">
        <f t="shared" si="0"/>
        <v>0</v>
      </c>
      <c r="AF6" s="449">
        <f t="shared" si="0"/>
        <v>0</v>
      </c>
      <c r="AG6" s="311">
        <v>728992.05</v>
      </c>
      <c r="AH6" s="312"/>
      <c r="AI6" s="313"/>
      <c r="AJ6" s="311">
        <v>702372.62</v>
      </c>
      <c r="AK6" s="312"/>
      <c r="AL6" s="314"/>
      <c r="AM6" s="311">
        <v>841936.59</v>
      </c>
      <c r="AN6" s="312"/>
      <c r="AO6" s="314"/>
      <c r="AP6" s="267">
        <f t="shared" si="1"/>
        <v>2273301.26</v>
      </c>
      <c r="AQ6" s="268">
        <f t="shared" si="1"/>
        <v>0</v>
      </c>
      <c r="AR6" s="482">
        <f t="shared" si="1"/>
        <v>0</v>
      </c>
      <c r="AS6" s="311">
        <v>884536.39</v>
      </c>
      <c r="AT6" s="314"/>
      <c r="AU6" s="356"/>
      <c r="AV6" s="311">
        <v>842158.63</v>
      </c>
      <c r="AW6" s="312"/>
      <c r="AX6" s="314"/>
      <c r="AY6" s="311">
        <v>739618</v>
      </c>
      <c r="AZ6" s="312"/>
      <c r="BA6" s="314"/>
      <c r="BB6" s="267">
        <f t="shared" si="2"/>
        <v>2466313.02</v>
      </c>
      <c r="BC6" s="268">
        <f t="shared" si="2"/>
        <v>0</v>
      </c>
      <c r="BD6" s="462">
        <f t="shared" si="2"/>
        <v>0</v>
      </c>
      <c r="BE6" s="311">
        <v>824839.78</v>
      </c>
      <c r="BF6" s="312"/>
      <c r="BG6" s="314"/>
      <c r="BH6" s="311">
        <v>779590.34</v>
      </c>
      <c r="BI6" s="312"/>
      <c r="BJ6" s="314"/>
      <c r="BK6" s="311"/>
      <c r="BL6" s="312"/>
      <c r="BM6" s="313"/>
      <c r="BN6" s="311">
        <f t="shared" si="3"/>
        <v>1604430.12</v>
      </c>
      <c r="BO6" s="312">
        <f t="shared" si="3"/>
        <v>0</v>
      </c>
      <c r="BP6" s="313">
        <f t="shared" si="3"/>
        <v>0</v>
      </c>
      <c r="BQ6" s="360">
        <f t="shared" si="4"/>
        <v>8764758.91</v>
      </c>
      <c r="BR6" s="361">
        <f t="shared" si="4"/>
        <v>0</v>
      </c>
      <c r="BS6" s="419">
        <f t="shared" si="4"/>
        <v>0</v>
      </c>
      <c r="BT6" s="485"/>
      <c r="BU6" s="356">
        <f>Q6-BQ6</f>
        <v>794251.0899999999</v>
      </c>
      <c r="BV6" s="511"/>
      <c r="BW6" s="403"/>
      <c r="BX6" s="469">
        <v>-279285.49</v>
      </c>
      <c r="BY6" s="489">
        <f>BQ6-BZ6</f>
        <v>1964758.9100000001</v>
      </c>
      <c r="BZ6" s="529">
        <f t="shared" si="5"/>
        <v>6800000</v>
      </c>
      <c r="CA6" s="133">
        <f t="shared" si="6"/>
        <v>796796.2645454545</v>
      </c>
      <c r="CB6" s="476">
        <v>600000</v>
      </c>
      <c r="CC6" s="210">
        <v>800000</v>
      </c>
    </row>
    <row r="7" spans="1:81" s="1" customFormat="1" ht="24" customHeight="1" thickBot="1">
      <c r="A7" s="719" t="s">
        <v>45</v>
      </c>
      <c r="B7" s="720"/>
      <c r="C7" s="84">
        <f aca="true" t="shared" si="7" ref="C7:I7">C5+C6</f>
        <v>21566340</v>
      </c>
      <c r="D7" s="285">
        <f t="shared" si="7"/>
        <v>2085176</v>
      </c>
      <c r="E7" s="285">
        <f t="shared" si="7"/>
        <v>21377483.93</v>
      </c>
      <c r="F7" s="285">
        <f t="shared" si="7"/>
        <v>11742482.05</v>
      </c>
      <c r="G7" s="285">
        <f t="shared" si="7"/>
        <v>13080765.34</v>
      </c>
      <c r="H7" s="285">
        <f t="shared" si="7"/>
        <v>101497.94999999925</v>
      </c>
      <c r="I7" s="285">
        <f t="shared" si="7"/>
        <v>-46441.15000000037</v>
      </c>
      <c r="J7" s="386"/>
      <c r="K7" s="285">
        <f>K5+K6</f>
        <v>1781456.9941666666</v>
      </c>
      <c r="L7" s="285">
        <f>L5+L6</f>
        <v>84020</v>
      </c>
      <c r="M7" s="286">
        <f>F5+E6+L6-C7</f>
        <v>28963.20000000298</v>
      </c>
      <c r="N7" s="292">
        <v>28963.2</v>
      </c>
      <c r="O7" s="492">
        <f aca="true" t="shared" si="8" ref="O7:AT7">O5+O6</f>
        <v>5397650</v>
      </c>
      <c r="P7" s="492">
        <f t="shared" si="8"/>
        <v>10525420</v>
      </c>
      <c r="Q7" s="491">
        <f t="shared" si="8"/>
        <v>17782080</v>
      </c>
      <c r="R7" s="347">
        <f t="shared" si="8"/>
        <v>3000000</v>
      </c>
      <c r="S7" s="347">
        <f t="shared" si="8"/>
        <v>5125420</v>
      </c>
      <c r="T7" s="347">
        <f t="shared" si="8"/>
        <v>4259010</v>
      </c>
      <c r="U7" s="364">
        <f t="shared" si="8"/>
        <v>1699184.8399999999</v>
      </c>
      <c r="V7" s="364">
        <f t="shared" si="8"/>
        <v>292736.3</v>
      </c>
      <c r="W7" s="364">
        <f t="shared" si="8"/>
        <v>82025.8</v>
      </c>
      <c r="X7" s="364">
        <f t="shared" si="8"/>
        <v>1506388.3599999999</v>
      </c>
      <c r="Y7" s="364">
        <f t="shared" si="8"/>
        <v>919177.87</v>
      </c>
      <c r="Z7" s="364">
        <f t="shared" si="8"/>
        <v>538145.91</v>
      </c>
      <c r="AA7" s="364">
        <f t="shared" si="8"/>
        <v>1420690.67</v>
      </c>
      <c r="AB7" s="364">
        <f t="shared" si="8"/>
        <v>282981.48</v>
      </c>
      <c r="AC7" s="422">
        <f t="shared" si="8"/>
        <v>321695.86</v>
      </c>
      <c r="AD7" s="450">
        <f t="shared" si="8"/>
        <v>4626263.869999999</v>
      </c>
      <c r="AE7" s="450">
        <f t="shared" si="8"/>
        <v>1494895.65</v>
      </c>
      <c r="AF7" s="451">
        <f t="shared" si="8"/>
        <v>941867.5700000001</v>
      </c>
      <c r="AG7" s="422">
        <f t="shared" si="8"/>
        <v>1437384.25</v>
      </c>
      <c r="AH7" s="422">
        <f t="shared" si="8"/>
        <v>182697.11</v>
      </c>
      <c r="AI7" s="422">
        <f t="shared" si="8"/>
        <v>919177.99</v>
      </c>
      <c r="AJ7" s="422">
        <f t="shared" si="8"/>
        <v>1526866.1800000002</v>
      </c>
      <c r="AK7" s="422">
        <f t="shared" si="8"/>
        <v>1629743.62</v>
      </c>
      <c r="AL7" s="422">
        <f t="shared" si="8"/>
        <v>283005.47</v>
      </c>
      <c r="AM7" s="422">
        <f t="shared" si="8"/>
        <v>1571800.8199999998</v>
      </c>
      <c r="AN7" s="422">
        <f t="shared" si="8"/>
        <v>743406.3</v>
      </c>
      <c r="AO7" s="364">
        <f t="shared" si="8"/>
        <v>182697.11</v>
      </c>
      <c r="AP7" s="451">
        <f t="shared" si="8"/>
        <v>4536051.25</v>
      </c>
      <c r="AQ7" s="451">
        <f t="shared" si="8"/>
        <v>2555847.0300000003</v>
      </c>
      <c r="AR7" s="450">
        <f t="shared" si="8"/>
        <v>1384880.5699999998</v>
      </c>
      <c r="AS7" s="422">
        <f t="shared" si="8"/>
        <v>1591951.46</v>
      </c>
      <c r="AT7" s="364">
        <f t="shared" si="8"/>
        <v>369828.74</v>
      </c>
      <c r="AU7" s="478">
        <f aca="true" t="shared" si="9" ref="AU7:BV7">AU5+AU6</f>
        <v>1629743.62</v>
      </c>
      <c r="AV7" s="422">
        <f t="shared" si="9"/>
        <v>1559523.46</v>
      </c>
      <c r="AW7" s="422">
        <f t="shared" si="9"/>
        <v>655534.99</v>
      </c>
      <c r="AX7" s="364">
        <f t="shared" si="9"/>
        <v>367334.24</v>
      </c>
      <c r="AY7" s="422">
        <f t="shared" si="9"/>
        <v>1297278.2</v>
      </c>
      <c r="AZ7" s="422">
        <f t="shared" si="9"/>
        <v>714958.8</v>
      </c>
      <c r="BA7" s="364">
        <f t="shared" si="9"/>
        <v>745900.8</v>
      </c>
      <c r="BB7" s="364">
        <f t="shared" si="9"/>
        <v>4448753.12</v>
      </c>
      <c r="BC7" s="364">
        <f t="shared" si="9"/>
        <v>1740322.53</v>
      </c>
      <c r="BD7" s="364">
        <f t="shared" si="9"/>
        <v>2742978.66</v>
      </c>
      <c r="BE7" s="364">
        <f t="shared" si="9"/>
        <v>1581118.02</v>
      </c>
      <c r="BF7" s="364">
        <f t="shared" si="9"/>
        <v>1013564.68</v>
      </c>
      <c r="BG7" s="364">
        <f t="shared" si="9"/>
        <v>655534.18</v>
      </c>
      <c r="BH7" s="364">
        <f t="shared" si="9"/>
        <v>1376767.3399999999</v>
      </c>
      <c r="BI7" s="364">
        <f t="shared" si="9"/>
        <v>201504.74</v>
      </c>
      <c r="BJ7" s="364">
        <f t="shared" si="9"/>
        <v>714959.61</v>
      </c>
      <c r="BK7" s="364">
        <f t="shared" si="9"/>
        <v>0</v>
      </c>
      <c r="BL7" s="364">
        <f t="shared" si="9"/>
        <v>0</v>
      </c>
      <c r="BM7" s="422">
        <f t="shared" si="9"/>
        <v>0</v>
      </c>
      <c r="BN7" s="422">
        <f t="shared" si="9"/>
        <v>2957885.3600000003</v>
      </c>
      <c r="BO7" s="422">
        <f t="shared" si="9"/>
        <v>1215069.42</v>
      </c>
      <c r="BP7" s="422">
        <f t="shared" si="9"/>
        <v>1370493.79</v>
      </c>
      <c r="BQ7" s="422">
        <f t="shared" si="9"/>
        <v>16568953.6</v>
      </c>
      <c r="BR7" s="422">
        <f t="shared" si="9"/>
        <v>7006134.63</v>
      </c>
      <c r="BS7" s="364">
        <f t="shared" si="9"/>
        <v>6440220.59</v>
      </c>
      <c r="BT7" s="410">
        <f t="shared" si="9"/>
        <v>1216935.37</v>
      </c>
      <c r="BU7" s="364">
        <f t="shared" si="9"/>
        <v>794251.0899999999</v>
      </c>
      <c r="BV7" s="474">
        <f t="shared" si="9"/>
        <v>1430952.6800000009</v>
      </c>
      <c r="BW7" s="404">
        <v>28963.2</v>
      </c>
      <c r="BX7" s="470">
        <v>-1482039.84</v>
      </c>
      <c r="BY7" s="470">
        <f>BY5+BY6+BW7</f>
        <v>2276786.74</v>
      </c>
      <c r="BZ7" s="529">
        <f t="shared" si="5"/>
        <v>13523070</v>
      </c>
      <c r="CA7" s="133">
        <f t="shared" si="6"/>
        <v>1506268.509090909</v>
      </c>
      <c r="CB7" s="470">
        <f>CB6+BW7</f>
        <v>628963.2</v>
      </c>
      <c r="CC7" s="208">
        <f>CC5+CC6</f>
        <v>1482000</v>
      </c>
    </row>
    <row r="8" spans="1:81" s="1" customFormat="1" ht="18.75" customHeight="1">
      <c r="A8" s="115"/>
      <c r="B8" s="116" t="s">
        <v>33</v>
      </c>
      <c r="C8" s="117">
        <f>442840+4562790-2200000</f>
        <v>2805630</v>
      </c>
      <c r="D8" s="114"/>
      <c r="E8" s="274">
        <v>2212033.89</v>
      </c>
      <c r="F8" s="275">
        <v>0</v>
      </c>
      <c r="G8" s="276">
        <v>0</v>
      </c>
      <c r="H8" s="277">
        <v>593596.11</v>
      </c>
      <c r="I8" s="278">
        <v>593596.11</v>
      </c>
      <c r="J8" s="387"/>
      <c r="K8" s="280">
        <v>184336.1575</v>
      </c>
      <c r="L8" s="174"/>
      <c r="M8" s="281"/>
      <c r="N8" s="291"/>
      <c r="O8" s="493">
        <v>536410</v>
      </c>
      <c r="P8" s="494">
        <v>4476150</v>
      </c>
      <c r="Q8" s="495">
        <f>O8+R8+S8+T8</f>
        <v>2430000</v>
      </c>
      <c r="R8" s="372">
        <v>500000</v>
      </c>
      <c r="S8" s="372">
        <v>1500000</v>
      </c>
      <c r="T8" s="372">
        <f>2476150-2390000-192560</f>
        <v>-106410</v>
      </c>
      <c r="U8" s="311">
        <v>162607.56</v>
      </c>
      <c r="V8" s="312"/>
      <c r="W8" s="313"/>
      <c r="X8" s="311">
        <v>187155.56</v>
      </c>
      <c r="Y8" s="312"/>
      <c r="Z8" s="313"/>
      <c r="AA8" s="311">
        <v>183846.45</v>
      </c>
      <c r="AB8" s="312"/>
      <c r="AC8" s="313"/>
      <c r="AD8" s="104">
        <f aca="true" t="shared" si="10" ref="AD8:AF9">U8+X8+AA8</f>
        <v>533609.5700000001</v>
      </c>
      <c r="AE8" s="105">
        <f t="shared" si="10"/>
        <v>0</v>
      </c>
      <c r="AF8" s="449">
        <f t="shared" si="10"/>
        <v>0</v>
      </c>
      <c r="AG8" s="311">
        <v>245689.62</v>
      </c>
      <c r="AH8" s="312"/>
      <c r="AI8" s="313"/>
      <c r="AJ8" s="311">
        <v>267256.45</v>
      </c>
      <c r="AK8" s="312"/>
      <c r="AL8" s="314"/>
      <c r="AM8" s="311">
        <v>241326.97</v>
      </c>
      <c r="AN8" s="312"/>
      <c r="AO8" s="314"/>
      <c r="AP8" s="267">
        <f aca="true" t="shared" si="11" ref="AP8:AR9">AG8+AJ8+AM8</f>
        <v>754273.04</v>
      </c>
      <c r="AQ8" s="268">
        <f t="shared" si="11"/>
        <v>0</v>
      </c>
      <c r="AR8" s="482">
        <f t="shared" si="11"/>
        <v>0</v>
      </c>
      <c r="AS8" s="311">
        <v>207059.71</v>
      </c>
      <c r="AT8" s="314"/>
      <c r="AU8" s="356"/>
      <c r="AV8" s="311">
        <v>196141.73</v>
      </c>
      <c r="AW8" s="312"/>
      <c r="AX8" s="314"/>
      <c r="AY8" s="311">
        <v>170054.01</v>
      </c>
      <c r="AZ8" s="312"/>
      <c r="BA8" s="314"/>
      <c r="BB8" s="267">
        <f aca="true" t="shared" si="12" ref="BB8:BD9">AS8+AV8+AY8</f>
        <v>573255.45</v>
      </c>
      <c r="BC8" s="268">
        <f t="shared" si="12"/>
        <v>0</v>
      </c>
      <c r="BD8" s="462">
        <f t="shared" si="12"/>
        <v>0</v>
      </c>
      <c r="BE8" s="311">
        <v>184439.35</v>
      </c>
      <c r="BF8" s="312"/>
      <c r="BG8" s="314"/>
      <c r="BH8" s="311">
        <v>194710.91</v>
      </c>
      <c r="BI8" s="312"/>
      <c r="BJ8" s="314"/>
      <c r="BK8" s="311"/>
      <c r="BL8" s="312"/>
      <c r="BM8" s="313"/>
      <c r="BN8" s="311">
        <f aca="true" t="shared" si="13" ref="BN8:BP9">BE8+BH8+BK8</f>
        <v>379150.26</v>
      </c>
      <c r="BO8" s="312">
        <f t="shared" si="13"/>
        <v>0</v>
      </c>
      <c r="BP8" s="313">
        <f t="shared" si="13"/>
        <v>0</v>
      </c>
      <c r="BQ8" s="360">
        <f aca="true" t="shared" si="14" ref="BQ8:BS9">AD8+AP8+BB8+BN8</f>
        <v>2240288.3200000003</v>
      </c>
      <c r="BR8" s="361">
        <f t="shared" si="14"/>
        <v>0</v>
      </c>
      <c r="BS8" s="419">
        <f t="shared" si="14"/>
        <v>0</v>
      </c>
      <c r="BT8" s="485"/>
      <c r="BU8" s="356">
        <f>Q8-BQ8</f>
        <v>189711.6799999997</v>
      </c>
      <c r="BV8" s="32"/>
      <c r="BW8" s="403"/>
      <c r="BX8" s="469">
        <v>-2800.429999999935</v>
      </c>
      <c r="BY8" s="469">
        <f>BQ8-BZ8</f>
        <v>-296121.6799999997</v>
      </c>
      <c r="BZ8" s="529">
        <f t="shared" si="5"/>
        <v>2536410</v>
      </c>
      <c r="CA8" s="133">
        <f t="shared" si="6"/>
        <v>203662.57454545458</v>
      </c>
      <c r="CB8" s="476">
        <v>-190000</v>
      </c>
      <c r="CC8" s="209">
        <v>200000</v>
      </c>
    </row>
    <row r="9" spans="1:81" s="1" customFormat="1" ht="18.75" customHeight="1" thickBot="1">
      <c r="A9" s="259"/>
      <c r="B9" s="273" t="s">
        <v>67</v>
      </c>
      <c r="C9" s="260"/>
      <c r="D9" s="261"/>
      <c r="E9" s="256"/>
      <c r="F9" s="262"/>
      <c r="G9" s="263"/>
      <c r="H9" s="264"/>
      <c r="I9" s="265"/>
      <c r="J9" s="388">
        <v>0</v>
      </c>
      <c r="K9" s="257"/>
      <c r="L9" s="266"/>
      <c r="M9" s="193"/>
      <c r="N9" s="291"/>
      <c r="O9" s="496">
        <v>165000</v>
      </c>
      <c r="P9" s="497">
        <v>1485000</v>
      </c>
      <c r="Q9" s="498">
        <f>O9+R9+S9+T9</f>
        <v>1714000</v>
      </c>
      <c r="R9" s="373">
        <f>500000-200000</f>
        <v>300000</v>
      </c>
      <c r="S9" s="373">
        <f>500000+6564000-6500000+500000</f>
        <v>1064000</v>
      </c>
      <c r="T9" s="373">
        <f>685000-500000</f>
        <v>185000</v>
      </c>
      <c r="U9" s="311">
        <v>0</v>
      </c>
      <c r="V9" s="312">
        <v>54382.37</v>
      </c>
      <c r="W9" s="313"/>
      <c r="X9" s="311">
        <v>13595.59</v>
      </c>
      <c r="Y9" s="312"/>
      <c r="Z9" s="313"/>
      <c r="AA9" s="311">
        <v>52660.56</v>
      </c>
      <c r="AB9" s="312">
        <v>38204.06</v>
      </c>
      <c r="AC9" s="313">
        <v>54382.37</v>
      </c>
      <c r="AD9" s="104">
        <f t="shared" si="10"/>
        <v>66256.15</v>
      </c>
      <c r="AE9" s="105">
        <f t="shared" si="10"/>
        <v>92586.43</v>
      </c>
      <c r="AF9" s="449">
        <f t="shared" si="10"/>
        <v>54382.37</v>
      </c>
      <c r="AG9" s="311">
        <v>52660.56</v>
      </c>
      <c r="AH9" s="312">
        <v>65395.24</v>
      </c>
      <c r="AI9" s="313"/>
      <c r="AJ9" s="311">
        <v>39064.97</v>
      </c>
      <c r="AK9" s="312">
        <v>159703.48</v>
      </c>
      <c r="AL9" s="314">
        <v>38204.06</v>
      </c>
      <c r="AM9" s="311">
        <v>120638.51</v>
      </c>
      <c r="AN9" s="312">
        <v>50938.75</v>
      </c>
      <c r="AO9" s="314">
        <v>65395.24</v>
      </c>
      <c r="AP9" s="267">
        <f t="shared" si="11"/>
        <v>212364.03999999998</v>
      </c>
      <c r="AQ9" s="268">
        <f t="shared" si="11"/>
        <v>276037.47</v>
      </c>
      <c r="AR9" s="482">
        <f t="shared" si="11"/>
        <v>103599.29999999999</v>
      </c>
      <c r="AS9" s="311">
        <v>40834.61</v>
      </c>
      <c r="AT9" s="314">
        <v>343145.29</v>
      </c>
      <c r="AU9" s="356">
        <v>159703.48</v>
      </c>
      <c r="AV9" s="311">
        <v>105416.78</v>
      </c>
      <c r="AW9" s="312"/>
      <c r="AX9" s="314">
        <v>50938.75</v>
      </c>
      <c r="AY9" s="311">
        <v>79899.58</v>
      </c>
      <c r="AZ9" s="312">
        <v>54382.37</v>
      </c>
      <c r="BA9" s="314">
        <v>343145.29</v>
      </c>
      <c r="BB9" s="267">
        <f t="shared" si="12"/>
        <v>226150.97000000003</v>
      </c>
      <c r="BC9" s="268">
        <f t="shared" si="12"/>
        <v>397527.66</v>
      </c>
      <c r="BD9" s="462">
        <f t="shared" si="12"/>
        <v>553787.52</v>
      </c>
      <c r="BE9" s="311">
        <v>141031.91</v>
      </c>
      <c r="BF9" s="312">
        <v>212364.05</v>
      </c>
      <c r="BG9" s="314"/>
      <c r="BH9" s="311">
        <v>146968.8</v>
      </c>
      <c r="BI9" s="312">
        <v>218415.52</v>
      </c>
      <c r="BJ9" s="314">
        <v>54382.37</v>
      </c>
      <c r="BK9" s="311"/>
      <c r="BL9" s="312"/>
      <c r="BM9" s="313">
        <v>212364.05</v>
      </c>
      <c r="BN9" s="311">
        <f t="shared" si="13"/>
        <v>288000.70999999996</v>
      </c>
      <c r="BO9" s="312">
        <f t="shared" si="13"/>
        <v>430779.56999999995</v>
      </c>
      <c r="BP9" s="313">
        <f t="shared" si="13"/>
        <v>266746.42</v>
      </c>
      <c r="BQ9" s="360">
        <f t="shared" si="14"/>
        <v>792771.8699999999</v>
      </c>
      <c r="BR9" s="361">
        <f t="shared" si="14"/>
        <v>1196931.13</v>
      </c>
      <c r="BS9" s="419">
        <f t="shared" si="14"/>
        <v>978515.6099999999</v>
      </c>
      <c r="BT9" s="485">
        <f>Q9-BR9</f>
        <v>517068.8700000001</v>
      </c>
      <c r="BU9" s="356"/>
      <c r="BV9" s="32">
        <f>J9+BR9-BQ9</f>
        <v>404159.26</v>
      </c>
      <c r="BW9" s="403"/>
      <c r="BX9" s="469">
        <v>-72413.57</v>
      </c>
      <c r="BY9" s="489">
        <f>BR9-BZ9</f>
        <v>-332068.8700000001</v>
      </c>
      <c r="BZ9" s="529">
        <f t="shared" si="5"/>
        <v>1529000</v>
      </c>
      <c r="CA9" s="133">
        <f t="shared" si="6"/>
        <v>72070.16999999998</v>
      </c>
      <c r="CB9" s="476"/>
      <c r="CC9" s="210">
        <v>145000</v>
      </c>
    </row>
    <row r="10" spans="1:81" s="1" customFormat="1" ht="23.25" customHeight="1" thickBot="1">
      <c r="A10" s="719" t="s">
        <v>68</v>
      </c>
      <c r="B10" s="720"/>
      <c r="C10" s="84">
        <f aca="true" t="shared" si="15" ref="C10:I10">C8+C9</f>
        <v>2805630</v>
      </c>
      <c r="D10" s="285">
        <f t="shared" si="15"/>
        <v>0</v>
      </c>
      <c r="E10" s="285">
        <f t="shared" si="15"/>
        <v>2212033.89</v>
      </c>
      <c r="F10" s="285">
        <f t="shared" si="15"/>
        <v>0</v>
      </c>
      <c r="G10" s="285">
        <f t="shared" si="15"/>
        <v>0</v>
      </c>
      <c r="H10" s="285">
        <f t="shared" si="15"/>
        <v>593596.11</v>
      </c>
      <c r="I10" s="285">
        <f t="shared" si="15"/>
        <v>593596.11</v>
      </c>
      <c r="J10" s="386"/>
      <c r="K10" s="285">
        <f>K8+K9</f>
        <v>184336.1575</v>
      </c>
      <c r="L10" s="285">
        <f>L8+L9</f>
        <v>0</v>
      </c>
      <c r="M10" s="285">
        <f>M8+M9</f>
        <v>0</v>
      </c>
      <c r="N10" s="291"/>
      <c r="O10" s="285">
        <f aca="true" t="shared" si="16" ref="O10:AT10">O8+O9</f>
        <v>701410</v>
      </c>
      <c r="P10" s="285">
        <f t="shared" si="16"/>
        <v>5961150</v>
      </c>
      <c r="Q10" s="376">
        <f t="shared" si="16"/>
        <v>4144000</v>
      </c>
      <c r="R10" s="347">
        <f t="shared" si="16"/>
        <v>800000</v>
      </c>
      <c r="S10" s="347">
        <f t="shared" si="16"/>
        <v>2564000</v>
      </c>
      <c r="T10" s="347">
        <f t="shared" si="16"/>
        <v>78590</v>
      </c>
      <c r="U10" s="364">
        <f t="shared" si="16"/>
        <v>162607.56</v>
      </c>
      <c r="V10" s="364">
        <f t="shared" si="16"/>
        <v>54382.37</v>
      </c>
      <c r="W10" s="364">
        <f t="shared" si="16"/>
        <v>0</v>
      </c>
      <c r="X10" s="364">
        <f t="shared" si="16"/>
        <v>200751.15</v>
      </c>
      <c r="Y10" s="364">
        <f t="shared" si="16"/>
        <v>0</v>
      </c>
      <c r="Z10" s="364">
        <f t="shared" si="16"/>
        <v>0</v>
      </c>
      <c r="AA10" s="364">
        <f t="shared" si="16"/>
        <v>236507.01</v>
      </c>
      <c r="AB10" s="364">
        <f t="shared" si="16"/>
        <v>38204.06</v>
      </c>
      <c r="AC10" s="422">
        <f t="shared" si="16"/>
        <v>54382.37</v>
      </c>
      <c r="AD10" s="450">
        <f t="shared" si="16"/>
        <v>599865.7200000001</v>
      </c>
      <c r="AE10" s="450">
        <f t="shared" si="16"/>
        <v>92586.43</v>
      </c>
      <c r="AF10" s="451">
        <f t="shared" si="16"/>
        <v>54382.37</v>
      </c>
      <c r="AG10" s="422">
        <f t="shared" si="16"/>
        <v>298350.18</v>
      </c>
      <c r="AH10" s="422">
        <f t="shared" si="16"/>
        <v>65395.24</v>
      </c>
      <c r="AI10" s="422">
        <f t="shared" si="16"/>
        <v>0</v>
      </c>
      <c r="AJ10" s="422">
        <f t="shared" si="16"/>
        <v>306321.42000000004</v>
      </c>
      <c r="AK10" s="422">
        <f t="shared" si="16"/>
        <v>159703.48</v>
      </c>
      <c r="AL10" s="422">
        <f t="shared" si="16"/>
        <v>38204.06</v>
      </c>
      <c r="AM10" s="422">
        <f t="shared" si="16"/>
        <v>361965.48</v>
      </c>
      <c r="AN10" s="422">
        <f t="shared" si="16"/>
        <v>50938.75</v>
      </c>
      <c r="AO10" s="364">
        <f t="shared" si="16"/>
        <v>65395.24</v>
      </c>
      <c r="AP10" s="451">
        <f t="shared" si="16"/>
        <v>966637.0800000001</v>
      </c>
      <c r="AQ10" s="451">
        <f t="shared" si="16"/>
        <v>276037.47</v>
      </c>
      <c r="AR10" s="450">
        <f t="shared" si="16"/>
        <v>103599.29999999999</v>
      </c>
      <c r="AS10" s="422">
        <f t="shared" si="16"/>
        <v>247894.32</v>
      </c>
      <c r="AT10" s="364">
        <f t="shared" si="16"/>
        <v>343145.29</v>
      </c>
      <c r="AU10" s="478">
        <f aca="true" t="shared" si="17" ref="AU10:BV10">AU8+AU9</f>
        <v>159703.48</v>
      </c>
      <c r="AV10" s="422">
        <f t="shared" si="17"/>
        <v>301558.51</v>
      </c>
      <c r="AW10" s="422">
        <f t="shared" si="17"/>
        <v>0</v>
      </c>
      <c r="AX10" s="364">
        <f t="shared" si="17"/>
        <v>50938.75</v>
      </c>
      <c r="AY10" s="422">
        <f t="shared" si="17"/>
        <v>249953.59000000003</v>
      </c>
      <c r="AZ10" s="422">
        <f t="shared" si="17"/>
        <v>54382.37</v>
      </c>
      <c r="BA10" s="364">
        <f t="shared" si="17"/>
        <v>343145.29</v>
      </c>
      <c r="BB10" s="364">
        <f t="shared" si="17"/>
        <v>799406.4199999999</v>
      </c>
      <c r="BC10" s="364">
        <f t="shared" si="17"/>
        <v>397527.66</v>
      </c>
      <c r="BD10" s="364">
        <f t="shared" si="17"/>
        <v>553787.52</v>
      </c>
      <c r="BE10" s="364">
        <f t="shared" si="17"/>
        <v>325471.26</v>
      </c>
      <c r="BF10" s="364">
        <f t="shared" si="17"/>
        <v>212364.05</v>
      </c>
      <c r="BG10" s="364">
        <f t="shared" si="17"/>
        <v>0</v>
      </c>
      <c r="BH10" s="364">
        <f t="shared" si="17"/>
        <v>341679.70999999996</v>
      </c>
      <c r="BI10" s="364">
        <f t="shared" si="17"/>
        <v>218415.52</v>
      </c>
      <c r="BJ10" s="364">
        <f t="shared" si="17"/>
        <v>54382.37</v>
      </c>
      <c r="BK10" s="364">
        <f t="shared" si="17"/>
        <v>0</v>
      </c>
      <c r="BL10" s="364">
        <f t="shared" si="17"/>
        <v>0</v>
      </c>
      <c r="BM10" s="422">
        <f t="shared" si="17"/>
        <v>212364.05</v>
      </c>
      <c r="BN10" s="422">
        <f t="shared" si="17"/>
        <v>667150.97</v>
      </c>
      <c r="BO10" s="422">
        <f t="shared" si="17"/>
        <v>430779.56999999995</v>
      </c>
      <c r="BP10" s="422">
        <f t="shared" si="17"/>
        <v>266746.42</v>
      </c>
      <c r="BQ10" s="422">
        <f t="shared" si="17"/>
        <v>3033060.1900000004</v>
      </c>
      <c r="BR10" s="422">
        <f t="shared" si="17"/>
        <v>1196931.13</v>
      </c>
      <c r="BS10" s="364">
        <f t="shared" si="17"/>
        <v>978515.6099999999</v>
      </c>
      <c r="BT10" s="410">
        <f t="shared" si="17"/>
        <v>517068.8700000001</v>
      </c>
      <c r="BU10" s="364">
        <f t="shared" si="17"/>
        <v>189711.6799999997</v>
      </c>
      <c r="BV10" s="364">
        <f t="shared" si="17"/>
        <v>404159.26</v>
      </c>
      <c r="BW10" s="403"/>
      <c r="BX10" s="470">
        <v>-75213.99999999994</v>
      </c>
      <c r="BY10" s="470">
        <f>BY8+BY9</f>
        <v>-628190.5499999998</v>
      </c>
      <c r="BZ10" s="529">
        <f t="shared" si="5"/>
        <v>4065410</v>
      </c>
      <c r="CA10" s="133">
        <f t="shared" si="6"/>
        <v>275732.74454545457</v>
      </c>
      <c r="CB10" s="476"/>
      <c r="CC10" s="213">
        <f>CC8+CC9</f>
        <v>345000</v>
      </c>
    </row>
    <row r="11" spans="1:81" s="1" customFormat="1" ht="18" customHeight="1">
      <c r="A11" s="716" t="s">
        <v>6</v>
      </c>
      <c r="B11" s="7" t="s">
        <v>4</v>
      </c>
      <c r="C11" s="81">
        <f>6000+17500</f>
        <v>23500</v>
      </c>
      <c r="D11" s="51">
        <v>20243.91</v>
      </c>
      <c r="E11" s="267">
        <v>34358.02</v>
      </c>
      <c r="F11" s="268">
        <v>23242.04</v>
      </c>
      <c r="G11" s="269">
        <v>26251.96</v>
      </c>
      <c r="H11" s="270">
        <v>257.9599999999991</v>
      </c>
      <c r="I11" s="271"/>
      <c r="J11" s="384">
        <v>8468.13</v>
      </c>
      <c r="K11" s="258">
        <v>2863.1683333333335</v>
      </c>
      <c r="L11" s="176"/>
      <c r="M11" s="194"/>
      <c r="N11" s="291"/>
      <c r="O11" s="232">
        <v>4500</v>
      </c>
      <c r="P11" s="242">
        <v>19220</v>
      </c>
      <c r="Q11" s="249">
        <f>O11+R11+S11+T11</f>
        <v>23720</v>
      </c>
      <c r="R11" s="242">
        <v>6600</v>
      </c>
      <c r="S11" s="242">
        <v>12620</v>
      </c>
      <c r="T11" s="242">
        <v>0</v>
      </c>
      <c r="U11" s="311">
        <v>2818.54</v>
      </c>
      <c r="V11" s="312"/>
      <c r="W11" s="313">
        <v>3494.03</v>
      </c>
      <c r="X11" s="311">
        <v>1428.82</v>
      </c>
      <c r="Y11" s="312"/>
      <c r="Z11" s="313"/>
      <c r="AA11" s="311">
        <v>1259.76</v>
      </c>
      <c r="AB11" s="312">
        <v>2740.88</v>
      </c>
      <c r="AC11" s="313"/>
      <c r="AD11" s="104">
        <f aca="true" t="shared" si="18" ref="AD11:AF12">U11+X11+AA11</f>
        <v>5507.12</v>
      </c>
      <c r="AE11" s="105">
        <f t="shared" si="18"/>
        <v>2740.88</v>
      </c>
      <c r="AF11" s="449">
        <f t="shared" si="18"/>
        <v>3494.03</v>
      </c>
      <c r="AG11" s="311">
        <v>1764.83</v>
      </c>
      <c r="AH11" s="312"/>
      <c r="AI11" s="313"/>
      <c r="AJ11" s="311">
        <v>1067.32</v>
      </c>
      <c r="AK11" s="312"/>
      <c r="AL11" s="314">
        <v>2740.88</v>
      </c>
      <c r="AM11" s="311">
        <v>1716.39</v>
      </c>
      <c r="AN11" s="312">
        <v>5968.63</v>
      </c>
      <c r="AO11" s="314"/>
      <c r="AP11" s="267">
        <f aca="true" t="shared" si="19" ref="AP11:AR12">AG11+AJ11+AM11</f>
        <v>4548.54</v>
      </c>
      <c r="AQ11" s="268">
        <f t="shared" si="19"/>
        <v>5968.63</v>
      </c>
      <c r="AR11" s="482">
        <f t="shared" si="19"/>
        <v>2740.88</v>
      </c>
      <c r="AS11" s="311">
        <v>3928.98</v>
      </c>
      <c r="AT11" s="314"/>
      <c r="AU11" s="356"/>
      <c r="AV11" s="311">
        <v>1422</v>
      </c>
      <c r="AW11" s="312">
        <v>5988.38</v>
      </c>
      <c r="AX11" s="314">
        <v>5968.63</v>
      </c>
      <c r="AY11" s="311">
        <v>3376.38</v>
      </c>
      <c r="AZ11" s="312"/>
      <c r="BA11" s="314"/>
      <c r="BB11" s="267">
        <f aca="true" t="shared" si="20" ref="BB11:BD12">AS11+AV11+AY11</f>
        <v>8727.36</v>
      </c>
      <c r="BC11" s="268">
        <f t="shared" si="20"/>
        <v>5988.38</v>
      </c>
      <c r="BD11" s="462">
        <f t="shared" si="20"/>
        <v>5968.63</v>
      </c>
      <c r="BE11" s="311">
        <v>3939.38</v>
      </c>
      <c r="BF11" s="312">
        <v>5436.55</v>
      </c>
      <c r="BG11" s="314">
        <v>5988.38</v>
      </c>
      <c r="BH11" s="311">
        <v>3084.45</v>
      </c>
      <c r="BI11" s="312"/>
      <c r="BJ11" s="314"/>
      <c r="BK11" s="311"/>
      <c r="BL11" s="312"/>
      <c r="BM11" s="313"/>
      <c r="BN11" s="311">
        <f aca="true" t="shared" si="21" ref="BN11:BP12">BE11+BH11+BK11</f>
        <v>7023.83</v>
      </c>
      <c r="BO11" s="312">
        <f t="shared" si="21"/>
        <v>5436.55</v>
      </c>
      <c r="BP11" s="313">
        <f t="shared" si="21"/>
        <v>5988.38</v>
      </c>
      <c r="BQ11" s="360">
        <f aca="true" t="shared" si="22" ref="BQ11:BS12">AD11+AP11+BB11+BN11</f>
        <v>25806.85</v>
      </c>
      <c r="BR11" s="361">
        <f t="shared" si="22"/>
        <v>20134.44</v>
      </c>
      <c r="BS11" s="419">
        <f t="shared" si="22"/>
        <v>18191.920000000002</v>
      </c>
      <c r="BT11" s="485">
        <f>Q11-BR11</f>
        <v>3585.5600000000013</v>
      </c>
      <c r="BU11" s="356"/>
      <c r="BV11" s="32">
        <f>J11+BR11-BQ11</f>
        <v>2795.720000000001</v>
      </c>
      <c r="BW11" s="403"/>
      <c r="BX11" s="469">
        <v>-1759.12</v>
      </c>
      <c r="BY11" s="489">
        <f>BR11-BZ11</f>
        <v>-3585.5600000000013</v>
      </c>
      <c r="BZ11" s="529">
        <f t="shared" si="5"/>
        <v>23720</v>
      </c>
      <c r="CA11" s="133">
        <f t="shared" si="6"/>
        <v>2346.0772727272724</v>
      </c>
      <c r="CB11" s="476">
        <v>0</v>
      </c>
      <c r="CC11" s="209">
        <v>2000</v>
      </c>
    </row>
    <row r="12" spans="1:81" s="1" customFormat="1" ht="18" customHeight="1" thickBot="1">
      <c r="A12" s="717"/>
      <c r="B12" s="22" t="s">
        <v>5</v>
      </c>
      <c r="C12" s="85">
        <f>2694650+6756950+537830+1774580+1865280+1000000</f>
        <v>14629290</v>
      </c>
      <c r="D12" s="52"/>
      <c r="E12" s="104">
        <v>14694891.51</v>
      </c>
      <c r="F12" s="105">
        <v>0</v>
      </c>
      <c r="G12" s="146">
        <v>0</v>
      </c>
      <c r="H12" s="137"/>
      <c r="I12" s="98">
        <v>-65601.50999999978</v>
      </c>
      <c r="J12" s="389"/>
      <c r="K12" s="133">
        <v>1224574.2925</v>
      </c>
      <c r="L12" s="177">
        <v>88070</v>
      </c>
      <c r="M12" s="193"/>
      <c r="N12" s="291"/>
      <c r="O12" s="233">
        <f>3621090+424410</f>
        <v>4045500</v>
      </c>
      <c r="P12" s="243">
        <f>5963000-424410</f>
        <v>5538590</v>
      </c>
      <c r="Q12" s="250">
        <f>O12+R12+S12+T12</f>
        <v>22287600</v>
      </c>
      <c r="R12" s="243">
        <f>4043400+1200000</f>
        <v>5243400</v>
      </c>
      <c r="S12" s="243">
        <f>295190+5010000+385420</f>
        <v>5690610</v>
      </c>
      <c r="T12" s="243">
        <f>1650000+1755330+245750+1097010+2560000</f>
        <v>7308090</v>
      </c>
      <c r="U12" s="311">
        <v>1653934.51</v>
      </c>
      <c r="V12" s="312"/>
      <c r="W12" s="313"/>
      <c r="X12" s="311">
        <v>1528790.96</v>
      </c>
      <c r="Y12" s="312"/>
      <c r="Z12" s="313"/>
      <c r="AA12" s="311">
        <v>1579529.4</v>
      </c>
      <c r="AB12" s="312"/>
      <c r="AC12" s="313"/>
      <c r="AD12" s="104">
        <f t="shared" si="18"/>
        <v>4762254.869999999</v>
      </c>
      <c r="AE12" s="105">
        <f t="shared" si="18"/>
        <v>0</v>
      </c>
      <c r="AF12" s="449">
        <f t="shared" si="18"/>
        <v>0</v>
      </c>
      <c r="AG12" s="311">
        <v>1753408.26</v>
      </c>
      <c r="AH12" s="312"/>
      <c r="AI12" s="313"/>
      <c r="AJ12" s="311">
        <v>1833817.77</v>
      </c>
      <c r="AK12" s="312"/>
      <c r="AL12" s="314"/>
      <c r="AM12" s="311">
        <v>1807409.52</v>
      </c>
      <c r="AN12" s="312"/>
      <c r="AO12" s="314"/>
      <c r="AP12" s="267">
        <f t="shared" si="19"/>
        <v>5394635.550000001</v>
      </c>
      <c r="AQ12" s="268">
        <f t="shared" si="19"/>
        <v>0</v>
      </c>
      <c r="AR12" s="482">
        <f t="shared" si="19"/>
        <v>0</v>
      </c>
      <c r="AS12" s="311">
        <v>1962631.06</v>
      </c>
      <c r="AT12" s="314"/>
      <c r="AU12" s="356"/>
      <c r="AV12" s="311">
        <v>1907736.58</v>
      </c>
      <c r="AW12" s="312"/>
      <c r="AX12" s="314"/>
      <c r="AY12" s="311">
        <v>1934810.24</v>
      </c>
      <c r="AZ12" s="312"/>
      <c r="BA12" s="314"/>
      <c r="BB12" s="267">
        <f t="shared" si="20"/>
        <v>5805177.88</v>
      </c>
      <c r="BC12" s="268">
        <f t="shared" si="20"/>
        <v>0</v>
      </c>
      <c r="BD12" s="462">
        <f t="shared" si="20"/>
        <v>0</v>
      </c>
      <c r="BE12" s="311">
        <v>2072348.09</v>
      </c>
      <c r="BF12" s="312"/>
      <c r="BG12" s="314"/>
      <c r="BH12" s="311">
        <v>2152367.78</v>
      </c>
      <c r="BI12" s="312"/>
      <c r="BJ12" s="314"/>
      <c r="BK12" s="311"/>
      <c r="BL12" s="312"/>
      <c r="BM12" s="313"/>
      <c r="BN12" s="311">
        <f t="shared" si="21"/>
        <v>4224715.87</v>
      </c>
      <c r="BO12" s="312">
        <f t="shared" si="21"/>
        <v>0</v>
      </c>
      <c r="BP12" s="313">
        <f t="shared" si="21"/>
        <v>0</v>
      </c>
      <c r="BQ12" s="360">
        <f t="shared" si="22"/>
        <v>20186784.17</v>
      </c>
      <c r="BR12" s="361">
        <f t="shared" si="22"/>
        <v>0</v>
      </c>
      <c r="BS12" s="419">
        <f t="shared" si="22"/>
        <v>0</v>
      </c>
      <c r="BT12" s="485"/>
      <c r="BU12" s="356">
        <f>Q12-BQ12</f>
        <v>2100815.829999998</v>
      </c>
      <c r="BV12" s="32"/>
      <c r="BW12" s="403"/>
      <c r="BX12" s="469">
        <v>716754.8699999992</v>
      </c>
      <c r="BY12" s="489">
        <f>BQ12-BZ12</f>
        <v>5207274.170000002</v>
      </c>
      <c r="BZ12" s="529">
        <f t="shared" si="5"/>
        <v>14979510</v>
      </c>
      <c r="CA12" s="133">
        <f t="shared" si="6"/>
        <v>1835162.1972727275</v>
      </c>
      <c r="CB12" s="476">
        <v>2300000</v>
      </c>
      <c r="CC12" s="210">
        <v>1858000</v>
      </c>
    </row>
    <row r="13" spans="1:81" s="1" customFormat="1" ht="22.5" customHeight="1" thickBot="1">
      <c r="A13" s="3" t="s">
        <v>8</v>
      </c>
      <c r="B13" s="5" t="s">
        <v>9</v>
      </c>
      <c r="C13" s="84">
        <f>C11+C12</f>
        <v>14652790</v>
      </c>
      <c r="D13" s="33"/>
      <c r="E13" s="70">
        <v>14729249.53</v>
      </c>
      <c r="F13" s="70">
        <v>23242.04</v>
      </c>
      <c r="G13" s="148">
        <v>26251.96</v>
      </c>
      <c r="H13" s="62">
        <v>257.9599999999991</v>
      </c>
      <c r="I13" s="65">
        <v>-65601.50999999978</v>
      </c>
      <c r="J13" s="390"/>
      <c r="K13" s="133">
        <v>1227437.4608333332</v>
      </c>
      <c r="L13" s="175">
        <v>88070</v>
      </c>
      <c r="M13" s="195">
        <v>153413.54999999888</v>
      </c>
      <c r="N13" s="292">
        <v>153413.55</v>
      </c>
      <c r="O13" s="231">
        <f>O11+O12</f>
        <v>4050000</v>
      </c>
      <c r="P13" s="231">
        <f>P11+P12</f>
        <v>5557810</v>
      </c>
      <c r="Q13" s="378">
        <f>O13+R13+S13+T13</f>
        <v>22311320</v>
      </c>
      <c r="R13" s="348">
        <f aca="true" t="shared" si="23" ref="R13:AW13">R11+R12</f>
        <v>5250000</v>
      </c>
      <c r="S13" s="348">
        <f t="shared" si="23"/>
        <v>5703230</v>
      </c>
      <c r="T13" s="348">
        <f t="shared" si="23"/>
        <v>7308090</v>
      </c>
      <c r="U13" s="365">
        <f t="shared" si="23"/>
        <v>1656753.05</v>
      </c>
      <c r="V13" s="365">
        <f t="shared" si="23"/>
        <v>0</v>
      </c>
      <c r="W13" s="365">
        <f t="shared" si="23"/>
        <v>3494.03</v>
      </c>
      <c r="X13" s="365">
        <f t="shared" si="23"/>
        <v>1530219.78</v>
      </c>
      <c r="Y13" s="365">
        <f t="shared" si="23"/>
        <v>0</v>
      </c>
      <c r="Z13" s="365">
        <f t="shared" si="23"/>
        <v>0</v>
      </c>
      <c r="AA13" s="365">
        <f t="shared" si="23"/>
        <v>1580789.16</v>
      </c>
      <c r="AB13" s="365">
        <f t="shared" si="23"/>
        <v>2740.88</v>
      </c>
      <c r="AC13" s="423">
        <f t="shared" si="23"/>
        <v>0</v>
      </c>
      <c r="AD13" s="421">
        <f t="shared" si="23"/>
        <v>4767761.989999999</v>
      </c>
      <c r="AE13" s="421">
        <f t="shared" si="23"/>
        <v>2740.88</v>
      </c>
      <c r="AF13" s="452">
        <f t="shared" si="23"/>
        <v>3494.03</v>
      </c>
      <c r="AG13" s="423">
        <f t="shared" si="23"/>
        <v>1755173.09</v>
      </c>
      <c r="AH13" s="423">
        <f t="shared" si="23"/>
        <v>0</v>
      </c>
      <c r="AI13" s="423">
        <f t="shared" si="23"/>
        <v>0</v>
      </c>
      <c r="AJ13" s="423">
        <f t="shared" si="23"/>
        <v>1834885.09</v>
      </c>
      <c r="AK13" s="423">
        <f t="shared" si="23"/>
        <v>0</v>
      </c>
      <c r="AL13" s="423">
        <f t="shared" si="23"/>
        <v>2740.88</v>
      </c>
      <c r="AM13" s="423">
        <f t="shared" si="23"/>
        <v>1809125.91</v>
      </c>
      <c r="AN13" s="423">
        <f t="shared" si="23"/>
        <v>5968.63</v>
      </c>
      <c r="AO13" s="365">
        <f t="shared" si="23"/>
        <v>0</v>
      </c>
      <c r="AP13" s="452">
        <f t="shared" si="23"/>
        <v>5399184.090000001</v>
      </c>
      <c r="AQ13" s="452">
        <f t="shared" si="23"/>
        <v>5968.63</v>
      </c>
      <c r="AR13" s="421">
        <f t="shared" si="23"/>
        <v>2740.88</v>
      </c>
      <c r="AS13" s="423">
        <f t="shared" si="23"/>
        <v>1966560.04</v>
      </c>
      <c r="AT13" s="365">
        <f t="shared" si="23"/>
        <v>0</v>
      </c>
      <c r="AU13" s="479">
        <f t="shared" si="23"/>
        <v>0</v>
      </c>
      <c r="AV13" s="423">
        <f t="shared" si="23"/>
        <v>1909158.58</v>
      </c>
      <c r="AW13" s="423">
        <f t="shared" si="23"/>
        <v>5988.38</v>
      </c>
      <c r="AX13" s="365">
        <f aca="true" t="shared" si="24" ref="AX13:CC13">AX11+AX12</f>
        <v>5968.63</v>
      </c>
      <c r="AY13" s="423">
        <f t="shared" si="24"/>
        <v>1938186.6199999999</v>
      </c>
      <c r="AZ13" s="423">
        <f t="shared" si="24"/>
        <v>0</v>
      </c>
      <c r="BA13" s="365">
        <f t="shared" si="24"/>
        <v>0</v>
      </c>
      <c r="BB13" s="365">
        <f t="shared" si="24"/>
        <v>5813905.24</v>
      </c>
      <c r="BC13" s="365">
        <f t="shared" si="24"/>
        <v>5988.38</v>
      </c>
      <c r="BD13" s="365">
        <f t="shared" si="24"/>
        <v>5968.63</v>
      </c>
      <c r="BE13" s="365">
        <f t="shared" si="24"/>
        <v>2076287.47</v>
      </c>
      <c r="BF13" s="365">
        <f t="shared" si="24"/>
        <v>5436.55</v>
      </c>
      <c r="BG13" s="365">
        <f t="shared" si="24"/>
        <v>5988.38</v>
      </c>
      <c r="BH13" s="365">
        <f t="shared" si="24"/>
        <v>2155452.23</v>
      </c>
      <c r="BI13" s="365">
        <f t="shared" si="24"/>
        <v>0</v>
      </c>
      <c r="BJ13" s="365">
        <f t="shared" si="24"/>
        <v>0</v>
      </c>
      <c r="BK13" s="365">
        <f t="shared" si="24"/>
        <v>0</v>
      </c>
      <c r="BL13" s="365">
        <f t="shared" si="24"/>
        <v>0</v>
      </c>
      <c r="BM13" s="423">
        <f t="shared" si="24"/>
        <v>0</v>
      </c>
      <c r="BN13" s="423">
        <f t="shared" si="24"/>
        <v>4231739.7</v>
      </c>
      <c r="BO13" s="423">
        <f t="shared" si="24"/>
        <v>5436.55</v>
      </c>
      <c r="BP13" s="423">
        <f t="shared" si="24"/>
        <v>5988.38</v>
      </c>
      <c r="BQ13" s="423">
        <f t="shared" si="24"/>
        <v>20212591.020000003</v>
      </c>
      <c r="BR13" s="423">
        <f t="shared" si="24"/>
        <v>20134.44</v>
      </c>
      <c r="BS13" s="365">
        <f t="shared" si="24"/>
        <v>18191.920000000002</v>
      </c>
      <c r="BT13" s="411">
        <f t="shared" si="24"/>
        <v>3585.5600000000013</v>
      </c>
      <c r="BU13" s="365">
        <f t="shared" si="24"/>
        <v>2100815.829999998</v>
      </c>
      <c r="BV13" s="365">
        <f t="shared" si="24"/>
        <v>2795.720000000001</v>
      </c>
      <c r="BW13" s="404">
        <v>153413.55</v>
      </c>
      <c r="BX13" s="471">
        <f>BX12+BX11</f>
        <v>714995.7499999992</v>
      </c>
      <c r="BY13" s="471">
        <f>BY11+BY12+BW13</f>
        <v>5357102.160000002</v>
      </c>
      <c r="BZ13" s="529">
        <f t="shared" si="5"/>
        <v>15003230</v>
      </c>
      <c r="CA13" s="133">
        <f t="shared" si="6"/>
        <v>1837508.274545455</v>
      </c>
      <c r="CB13" s="542">
        <f>BW13+CB12</f>
        <v>2453413.55</v>
      </c>
      <c r="CC13" s="208">
        <f t="shared" si="24"/>
        <v>1860000</v>
      </c>
    </row>
    <row r="14" spans="1:81" s="1" customFormat="1" ht="16.5" customHeight="1">
      <c r="A14" s="718" t="s">
        <v>6</v>
      </c>
      <c r="B14" s="7" t="s">
        <v>22</v>
      </c>
      <c r="C14" s="81">
        <v>0</v>
      </c>
      <c r="D14" s="53">
        <v>0</v>
      </c>
      <c r="E14" s="104">
        <v>0</v>
      </c>
      <c r="F14" s="105">
        <v>0</v>
      </c>
      <c r="G14" s="146">
        <v>0</v>
      </c>
      <c r="H14" s="137">
        <v>0</v>
      </c>
      <c r="I14" s="98"/>
      <c r="J14" s="389">
        <v>0</v>
      </c>
      <c r="K14" s="133">
        <v>0</v>
      </c>
      <c r="L14" s="178"/>
      <c r="M14" s="194"/>
      <c r="N14" s="291"/>
      <c r="O14" s="232"/>
      <c r="P14" s="242"/>
      <c r="Q14" s="249">
        <f>O14+P14</f>
        <v>0</v>
      </c>
      <c r="R14" s="242"/>
      <c r="S14" s="242"/>
      <c r="T14" s="242"/>
      <c r="U14" s="311"/>
      <c r="V14" s="312"/>
      <c r="W14" s="313"/>
      <c r="X14" s="311"/>
      <c r="Y14" s="312"/>
      <c r="Z14" s="313"/>
      <c r="AA14" s="311"/>
      <c r="AB14" s="312"/>
      <c r="AC14" s="313"/>
      <c r="AD14" s="104">
        <f aca="true" t="shared" si="25" ref="AD14:AF16">U14+X14+AA14</f>
        <v>0</v>
      </c>
      <c r="AE14" s="105">
        <f t="shared" si="25"/>
        <v>0</v>
      </c>
      <c r="AF14" s="449">
        <f t="shared" si="25"/>
        <v>0</v>
      </c>
      <c r="AG14" s="311"/>
      <c r="AH14" s="312"/>
      <c r="AI14" s="313"/>
      <c r="AJ14" s="311"/>
      <c r="AK14" s="312"/>
      <c r="AL14" s="314"/>
      <c r="AM14" s="311"/>
      <c r="AN14" s="312"/>
      <c r="AO14" s="314"/>
      <c r="AP14" s="267">
        <f aca="true" t="shared" si="26" ref="AP14:AR16">AG14+AJ14+AM14</f>
        <v>0</v>
      </c>
      <c r="AQ14" s="268">
        <f t="shared" si="26"/>
        <v>0</v>
      </c>
      <c r="AR14" s="482">
        <f t="shared" si="26"/>
        <v>0</v>
      </c>
      <c r="AS14" s="311"/>
      <c r="AT14" s="314"/>
      <c r="AU14" s="356"/>
      <c r="AV14" s="311"/>
      <c r="AW14" s="312"/>
      <c r="AX14" s="314"/>
      <c r="AY14" s="311"/>
      <c r="AZ14" s="312"/>
      <c r="BA14" s="314"/>
      <c r="BB14" s="267">
        <f aca="true" t="shared" si="27" ref="BB14:BD16">AS14+AV14+AY14</f>
        <v>0</v>
      </c>
      <c r="BC14" s="268">
        <f t="shared" si="27"/>
        <v>0</v>
      </c>
      <c r="BD14" s="462">
        <f t="shared" si="27"/>
        <v>0</v>
      </c>
      <c r="BE14" s="311"/>
      <c r="BF14" s="312"/>
      <c r="BG14" s="314"/>
      <c r="BH14" s="311"/>
      <c r="BI14" s="312"/>
      <c r="BJ14" s="314"/>
      <c r="BK14" s="311"/>
      <c r="BL14" s="312"/>
      <c r="BM14" s="313"/>
      <c r="BN14" s="311">
        <f aca="true" t="shared" si="28" ref="BN14:BP16">BE14+BH14+BK14</f>
        <v>0</v>
      </c>
      <c r="BO14" s="312">
        <f t="shared" si="28"/>
        <v>0</v>
      </c>
      <c r="BP14" s="313">
        <f t="shared" si="28"/>
        <v>0</v>
      </c>
      <c r="BQ14" s="360">
        <f aca="true" t="shared" si="29" ref="BQ14:BS16">AD14+AP14+BB14+BN14</f>
        <v>0</v>
      </c>
      <c r="BR14" s="361">
        <f t="shared" si="29"/>
        <v>0</v>
      </c>
      <c r="BS14" s="419">
        <f t="shared" si="29"/>
        <v>0</v>
      </c>
      <c r="BT14" s="485">
        <f>Q14-BR14</f>
        <v>0</v>
      </c>
      <c r="BU14" s="356"/>
      <c r="BV14" s="32">
        <f>J14+BR14-BQ14</f>
        <v>0</v>
      </c>
      <c r="BW14" s="403"/>
      <c r="BX14" s="472"/>
      <c r="BY14" s="490"/>
      <c r="BZ14" s="529">
        <f t="shared" si="5"/>
        <v>0</v>
      </c>
      <c r="CA14" s="133">
        <f t="shared" si="6"/>
        <v>0</v>
      </c>
      <c r="CB14" s="476"/>
      <c r="CC14" s="209"/>
    </row>
    <row r="15" spans="1:81" s="1" customFormat="1" ht="19.5" customHeight="1">
      <c r="A15" s="718"/>
      <c r="B15" s="7" t="s">
        <v>28</v>
      </c>
      <c r="C15" s="81">
        <f>63250+4610+3420</f>
        <v>71280</v>
      </c>
      <c r="D15" s="53"/>
      <c r="E15" s="104">
        <v>66900</v>
      </c>
      <c r="F15" s="105">
        <v>0</v>
      </c>
      <c r="G15" s="146">
        <v>0</v>
      </c>
      <c r="H15" s="137"/>
      <c r="I15" s="98">
        <v>4380</v>
      </c>
      <c r="J15" s="389"/>
      <c r="K15" s="133">
        <v>5575</v>
      </c>
      <c r="L15" s="178"/>
      <c r="M15" s="171"/>
      <c r="N15" s="291"/>
      <c r="O15" s="229">
        <v>17690</v>
      </c>
      <c r="P15" s="240">
        <v>53050</v>
      </c>
      <c r="Q15" s="247">
        <f>O15+R15+S15+T15</f>
        <v>72240</v>
      </c>
      <c r="R15" s="240">
        <v>17500</v>
      </c>
      <c r="S15" s="240">
        <f>17500+1020</f>
        <v>18520</v>
      </c>
      <c r="T15" s="240">
        <f>18050+480</f>
        <v>18530</v>
      </c>
      <c r="U15" s="311">
        <v>9060</v>
      </c>
      <c r="V15" s="312"/>
      <c r="W15" s="313"/>
      <c r="X15" s="311">
        <v>3660</v>
      </c>
      <c r="Y15" s="312"/>
      <c r="Z15" s="313"/>
      <c r="AA15" s="311">
        <v>5220</v>
      </c>
      <c r="AB15" s="312"/>
      <c r="AC15" s="313"/>
      <c r="AD15" s="104">
        <f t="shared" si="25"/>
        <v>17940</v>
      </c>
      <c r="AE15" s="105">
        <f t="shared" si="25"/>
        <v>0</v>
      </c>
      <c r="AF15" s="449">
        <f t="shared" si="25"/>
        <v>0</v>
      </c>
      <c r="AG15" s="311">
        <v>6600</v>
      </c>
      <c r="AH15" s="312"/>
      <c r="AI15" s="313"/>
      <c r="AJ15" s="311">
        <v>5160</v>
      </c>
      <c r="AK15" s="312"/>
      <c r="AL15" s="314"/>
      <c r="AM15" s="311">
        <v>6180</v>
      </c>
      <c r="AN15" s="312"/>
      <c r="AO15" s="314"/>
      <c r="AP15" s="267">
        <f t="shared" si="26"/>
        <v>17940</v>
      </c>
      <c r="AQ15" s="268">
        <f t="shared" si="26"/>
        <v>0</v>
      </c>
      <c r="AR15" s="482">
        <f t="shared" si="26"/>
        <v>0</v>
      </c>
      <c r="AS15" s="311">
        <v>5820</v>
      </c>
      <c r="AT15" s="314"/>
      <c r="AU15" s="356"/>
      <c r="AV15" s="311">
        <v>6360</v>
      </c>
      <c r="AW15" s="312"/>
      <c r="AX15" s="314"/>
      <c r="AY15" s="311">
        <v>6180</v>
      </c>
      <c r="AZ15" s="312"/>
      <c r="BA15" s="314"/>
      <c r="BB15" s="267">
        <f t="shared" si="27"/>
        <v>18360</v>
      </c>
      <c r="BC15" s="268">
        <f t="shared" si="27"/>
        <v>0</v>
      </c>
      <c r="BD15" s="462">
        <f t="shared" si="27"/>
        <v>0</v>
      </c>
      <c r="BE15" s="311">
        <v>4440</v>
      </c>
      <c r="BF15" s="312"/>
      <c r="BG15" s="314"/>
      <c r="BH15" s="311">
        <v>6660</v>
      </c>
      <c r="BI15" s="312"/>
      <c r="BJ15" s="314"/>
      <c r="BK15" s="311"/>
      <c r="BL15" s="312"/>
      <c r="BM15" s="313"/>
      <c r="BN15" s="311">
        <f t="shared" si="28"/>
        <v>11100</v>
      </c>
      <c r="BO15" s="312">
        <f t="shared" si="28"/>
        <v>0</v>
      </c>
      <c r="BP15" s="313">
        <f t="shared" si="28"/>
        <v>0</v>
      </c>
      <c r="BQ15" s="360">
        <f t="shared" si="29"/>
        <v>65340</v>
      </c>
      <c r="BR15" s="361">
        <f t="shared" si="29"/>
        <v>0</v>
      </c>
      <c r="BS15" s="419">
        <f t="shared" si="29"/>
        <v>0</v>
      </c>
      <c r="BT15" s="485"/>
      <c r="BU15" s="356">
        <f>Q15-BQ15</f>
        <v>6900</v>
      </c>
      <c r="BV15" s="32"/>
      <c r="BW15" s="403"/>
      <c r="BX15" s="469">
        <v>250</v>
      </c>
      <c r="BY15" s="489">
        <f>BQ15-BZ15</f>
        <v>11630</v>
      </c>
      <c r="BZ15" s="529">
        <f t="shared" si="5"/>
        <v>53710</v>
      </c>
      <c r="CA15" s="133">
        <f t="shared" si="6"/>
        <v>5940</v>
      </c>
      <c r="CB15" s="476"/>
      <c r="CC15" s="206">
        <v>7000</v>
      </c>
    </row>
    <row r="16" spans="1:81" s="1" customFormat="1" ht="20.25" customHeight="1" thickBot="1">
      <c r="A16" s="718"/>
      <c r="B16" s="22" t="s">
        <v>29</v>
      </c>
      <c r="C16" s="83">
        <f>1134890+13860+27700+20000</f>
        <v>1196450</v>
      </c>
      <c r="D16" s="54"/>
      <c r="E16" s="104">
        <v>1180421.67</v>
      </c>
      <c r="F16" s="105">
        <v>0</v>
      </c>
      <c r="G16" s="146">
        <v>0</v>
      </c>
      <c r="H16" s="137"/>
      <c r="I16" s="98">
        <v>16028.330000000075</v>
      </c>
      <c r="J16" s="389"/>
      <c r="K16" s="133">
        <v>98368.47249999999</v>
      </c>
      <c r="L16" s="179"/>
      <c r="M16" s="171"/>
      <c r="N16" s="291"/>
      <c r="O16" s="233">
        <v>299120</v>
      </c>
      <c r="P16" s="243">
        <v>897350</v>
      </c>
      <c r="Q16" s="247">
        <f>O16+R16+S16+T16</f>
        <v>1307810</v>
      </c>
      <c r="R16" s="243">
        <v>320000</v>
      </c>
      <c r="S16" s="243">
        <f>300000+104340</f>
        <v>404340</v>
      </c>
      <c r="T16" s="243">
        <f>277350+7000</f>
        <v>284350</v>
      </c>
      <c r="U16" s="311">
        <v>116160</v>
      </c>
      <c r="V16" s="312"/>
      <c r="W16" s="313"/>
      <c r="X16" s="311">
        <v>113736</v>
      </c>
      <c r="Y16" s="312"/>
      <c r="Z16" s="313"/>
      <c r="AA16" s="311">
        <v>94947.88</v>
      </c>
      <c r="AB16" s="312"/>
      <c r="AC16" s="313"/>
      <c r="AD16" s="104">
        <f t="shared" si="25"/>
        <v>324843.88</v>
      </c>
      <c r="AE16" s="105">
        <f t="shared" si="25"/>
        <v>0</v>
      </c>
      <c r="AF16" s="449">
        <f t="shared" si="25"/>
        <v>0</v>
      </c>
      <c r="AG16" s="311">
        <v>103920</v>
      </c>
      <c r="AH16" s="312"/>
      <c r="AI16" s="313"/>
      <c r="AJ16" s="311">
        <v>123840</v>
      </c>
      <c r="AK16" s="312"/>
      <c r="AL16" s="314"/>
      <c r="AM16" s="311">
        <v>97800</v>
      </c>
      <c r="AN16" s="312"/>
      <c r="AO16" s="314"/>
      <c r="AP16" s="267">
        <f t="shared" si="26"/>
        <v>325560</v>
      </c>
      <c r="AQ16" s="268">
        <f t="shared" si="26"/>
        <v>0</v>
      </c>
      <c r="AR16" s="482">
        <f t="shared" si="26"/>
        <v>0</v>
      </c>
      <c r="AS16" s="311">
        <v>109299</v>
      </c>
      <c r="AT16" s="314"/>
      <c r="AU16" s="356"/>
      <c r="AV16" s="311">
        <v>112785</v>
      </c>
      <c r="AW16" s="312"/>
      <c r="AX16" s="314"/>
      <c r="AY16" s="311">
        <v>100761</v>
      </c>
      <c r="AZ16" s="312"/>
      <c r="BA16" s="314"/>
      <c r="BB16" s="267">
        <f t="shared" si="27"/>
        <v>322845</v>
      </c>
      <c r="BC16" s="268">
        <f t="shared" si="27"/>
        <v>0</v>
      </c>
      <c r="BD16" s="462">
        <f t="shared" si="27"/>
        <v>0</v>
      </c>
      <c r="BE16" s="311">
        <v>114019.2</v>
      </c>
      <c r="BF16" s="312"/>
      <c r="BG16" s="314"/>
      <c r="BH16" s="311">
        <v>120231</v>
      </c>
      <c r="BI16" s="312"/>
      <c r="BJ16" s="314"/>
      <c r="BK16" s="311"/>
      <c r="BL16" s="312"/>
      <c r="BM16" s="313"/>
      <c r="BN16" s="311">
        <f t="shared" si="28"/>
        <v>234250.2</v>
      </c>
      <c r="BO16" s="312">
        <f t="shared" si="28"/>
        <v>0</v>
      </c>
      <c r="BP16" s="313">
        <f t="shared" si="28"/>
        <v>0</v>
      </c>
      <c r="BQ16" s="360">
        <f t="shared" si="29"/>
        <v>1207499.08</v>
      </c>
      <c r="BR16" s="361">
        <f t="shared" si="29"/>
        <v>0</v>
      </c>
      <c r="BS16" s="419">
        <f t="shared" si="29"/>
        <v>0</v>
      </c>
      <c r="BT16" s="485"/>
      <c r="BU16" s="356">
        <f>Q16-BQ16</f>
        <v>100310.91999999993</v>
      </c>
      <c r="BV16" s="32"/>
      <c r="BW16" s="403"/>
      <c r="BX16" s="469">
        <v>25723.88</v>
      </c>
      <c r="BY16" s="489">
        <f>BQ16-BZ16</f>
        <v>184039.08000000007</v>
      </c>
      <c r="BZ16" s="529">
        <f t="shared" si="5"/>
        <v>1023460</v>
      </c>
      <c r="CA16" s="133">
        <f t="shared" si="6"/>
        <v>109772.64363636365</v>
      </c>
      <c r="CB16" s="476"/>
      <c r="CC16" s="210">
        <v>109000</v>
      </c>
    </row>
    <row r="17" spans="1:81" s="1" customFormat="1" ht="20.25" customHeight="1" thickBot="1">
      <c r="A17" s="3" t="s">
        <v>8</v>
      </c>
      <c r="B17" s="5" t="s">
        <v>11</v>
      </c>
      <c r="C17" s="84">
        <f>C15+C16</f>
        <v>1267730</v>
      </c>
      <c r="D17" s="33"/>
      <c r="E17" s="70">
        <v>1247321.67</v>
      </c>
      <c r="F17" s="70">
        <v>0</v>
      </c>
      <c r="G17" s="148">
        <v>0</v>
      </c>
      <c r="H17" s="62">
        <v>0</v>
      </c>
      <c r="I17" s="65">
        <v>20408.330000000075</v>
      </c>
      <c r="J17" s="390">
        <v>0</v>
      </c>
      <c r="K17" s="133">
        <v>103943.47249999999</v>
      </c>
      <c r="L17" s="180"/>
      <c r="M17" s="171"/>
      <c r="N17" s="291"/>
      <c r="O17" s="231">
        <f aca="true" t="shared" si="30" ref="O17:AT17">O15+O16</f>
        <v>316810</v>
      </c>
      <c r="P17" s="231">
        <f t="shared" si="30"/>
        <v>950400</v>
      </c>
      <c r="Q17" s="377">
        <f t="shared" si="30"/>
        <v>1380050</v>
      </c>
      <c r="R17" s="365">
        <f t="shared" si="30"/>
        <v>337500</v>
      </c>
      <c r="S17" s="365">
        <f t="shared" si="30"/>
        <v>422860</v>
      </c>
      <c r="T17" s="534">
        <f t="shared" si="30"/>
        <v>302880</v>
      </c>
      <c r="U17" s="365">
        <f t="shared" si="30"/>
        <v>125220</v>
      </c>
      <c r="V17" s="365">
        <f t="shared" si="30"/>
        <v>0</v>
      </c>
      <c r="W17" s="365">
        <f t="shared" si="30"/>
        <v>0</v>
      </c>
      <c r="X17" s="365">
        <f t="shared" si="30"/>
        <v>117396</v>
      </c>
      <c r="Y17" s="365">
        <f t="shared" si="30"/>
        <v>0</v>
      </c>
      <c r="Z17" s="365">
        <f t="shared" si="30"/>
        <v>0</v>
      </c>
      <c r="AA17" s="365">
        <f t="shared" si="30"/>
        <v>100167.88</v>
      </c>
      <c r="AB17" s="365">
        <f t="shared" si="30"/>
        <v>0</v>
      </c>
      <c r="AC17" s="423">
        <f t="shared" si="30"/>
        <v>0</v>
      </c>
      <c r="AD17" s="421">
        <f t="shared" si="30"/>
        <v>342783.88</v>
      </c>
      <c r="AE17" s="421">
        <f t="shared" si="30"/>
        <v>0</v>
      </c>
      <c r="AF17" s="452">
        <f t="shared" si="30"/>
        <v>0</v>
      </c>
      <c r="AG17" s="423">
        <f t="shared" si="30"/>
        <v>110520</v>
      </c>
      <c r="AH17" s="423">
        <f t="shared" si="30"/>
        <v>0</v>
      </c>
      <c r="AI17" s="423">
        <f t="shared" si="30"/>
        <v>0</v>
      </c>
      <c r="AJ17" s="423">
        <f t="shared" si="30"/>
        <v>129000</v>
      </c>
      <c r="AK17" s="423">
        <f t="shared" si="30"/>
        <v>0</v>
      </c>
      <c r="AL17" s="423">
        <f t="shared" si="30"/>
        <v>0</v>
      </c>
      <c r="AM17" s="423">
        <f t="shared" si="30"/>
        <v>103980</v>
      </c>
      <c r="AN17" s="423">
        <f t="shared" si="30"/>
        <v>0</v>
      </c>
      <c r="AO17" s="365">
        <f t="shared" si="30"/>
        <v>0</v>
      </c>
      <c r="AP17" s="452">
        <f t="shared" si="30"/>
        <v>343500</v>
      </c>
      <c r="AQ17" s="452">
        <f t="shared" si="30"/>
        <v>0</v>
      </c>
      <c r="AR17" s="421">
        <f t="shared" si="30"/>
        <v>0</v>
      </c>
      <c r="AS17" s="423">
        <f t="shared" si="30"/>
        <v>115119</v>
      </c>
      <c r="AT17" s="365">
        <f t="shared" si="30"/>
        <v>0</v>
      </c>
      <c r="AU17" s="479">
        <f aca="true" t="shared" si="31" ref="AU17:BV17">AU15+AU16</f>
        <v>0</v>
      </c>
      <c r="AV17" s="423">
        <f t="shared" si="31"/>
        <v>119145</v>
      </c>
      <c r="AW17" s="423">
        <f t="shared" si="31"/>
        <v>0</v>
      </c>
      <c r="AX17" s="365">
        <f t="shared" si="31"/>
        <v>0</v>
      </c>
      <c r="AY17" s="423">
        <f t="shared" si="31"/>
        <v>106941</v>
      </c>
      <c r="AZ17" s="423">
        <f t="shared" si="31"/>
        <v>0</v>
      </c>
      <c r="BA17" s="365">
        <f t="shared" si="31"/>
        <v>0</v>
      </c>
      <c r="BB17" s="365">
        <f t="shared" si="31"/>
        <v>341205</v>
      </c>
      <c r="BC17" s="365">
        <f t="shared" si="31"/>
        <v>0</v>
      </c>
      <c r="BD17" s="365">
        <f t="shared" si="31"/>
        <v>0</v>
      </c>
      <c r="BE17" s="365">
        <f t="shared" si="31"/>
        <v>118459.2</v>
      </c>
      <c r="BF17" s="365">
        <f t="shared" si="31"/>
        <v>0</v>
      </c>
      <c r="BG17" s="365">
        <f t="shared" si="31"/>
        <v>0</v>
      </c>
      <c r="BH17" s="365">
        <f t="shared" si="31"/>
        <v>126891</v>
      </c>
      <c r="BI17" s="365">
        <f t="shared" si="31"/>
        <v>0</v>
      </c>
      <c r="BJ17" s="365">
        <f t="shared" si="31"/>
        <v>0</v>
      </c>
      <c r="BK17" s="365">
        <f t="shared" si="31"/>
        <v>0</v>
      </c>
      <c r="BL17" s="365">
        <f t="shared" si="31"/>
        <v>0</v>
      </c>
      <c r="BM17" s="423">
        <f t="shared" si="31"/>
        <v>0</v>
      </c>
      <c r="BN17" s="423">
        <f t="shared" si="31"/>
        <v>245350.2</v>
      </c>
      <c r="BO17" s="423">
        <f t="shared" si="31"/>
        <v>0</v>
      </c>
      <c r="BP17" s="423">
        <f t="shared" si="31"/>
        <v>0</v>
      </c>
      <c r="BQ17" s="423">
        <f t="shared" si="31"/>
        <v>1272839.08</v>
      </c>
      <c r="BR17" s="423">
        <f t="shared" si="31"/>
        <v>0</v>
      </c>
      <c r="BS17" s="365">
        <f t="shared" si="31"/>
        <v>0</v>
      </c>
      <c r="BT17" s="411">
        <f t="shared" si="31"/>
        <v>0</v>
      </c>
      <c r="BU17" s="365">
        <f t="shared" si="31"/>
        <v>107210.91999999993</v>
      </c>
      <c r="BV17" s="365">
        <f t="shared" si="31"/>
        <v>0</v>
      </c>
      <c r="BW17" s="365"/>
      <c r="BX17" s="365">
        <f aca="true" t="shared" si="32" ref="BX17:CC17">BX15+BX16</f>
        <v>25973.88</v>
      </c>
      <c r="BY17" s="365">
        <f t="shared" si="32"/>
        <v>195669.08000000007</v>
      </c>
      <c r="BZ17" s="365">
        <f t="shared" si="32"/>
        <v>1077170</v>
      </c>
      <c r="CA17" s="365">
        <f t="shared" si="32"/>
        <v>115712.64363636365</v>
      </c>
      <c r="CB17" s="423">
        <f t="shared" si="32"/>
        <v>0</v>
      </c>
      <c r="CC17" s="547">
        <f t="shared" si="32"/>
        <v>116000</v>
      </c>
    </row>
    <row r="18" spans="1:81" s="1" customFormat="1" ht="21" customHeight="1" thickBot="1">
      <c r="A18" s="723" t="s">
        <v>10</v>
      </c>
      <c r="B18" s="724"/>
      <c r="C18" s="84">
        <f>C13+C14+C17</f>
        <v>15920520</v>
      </c>
      <c r="D18" s="55"/>
      <c r="E18" s="71">
        <v>15976571.2</v>
      </c>
      <c r="F18" s="71">
        <v>23242.04</v>
      </c>
      <c r="G18" s="149">
        <v>26251.96</v>
      </c>
      <c r="H18" s="63">
        <v>257.9599999999991</v>
      </c>
      <c r="I18" s="66">
        <v>-45193.1799999997</v>
      </c>
      <c r="J18" s="391"/>
      <c r="K18" s="133">
        <v>1331380.9333333333</v>
      </c>
      <c r="L18" s="181">
        <v>88070</v>
      </c>
      <c r="M18" s="171"/>
      <c r="N18" s="291"/>
      <c r="O18" s="232"/>
      <c r="P18" s="242"/>
      <c r="Q18" s="249">
        <f>O18+P18</f>
        <v>0</v>
      </c>
      <c r="R18" s="242"/>
      <c r="S18" s="242"/>
      <c r="T18" s="242"/>
      <c r="U18" s="311"/>
      <c r="V18" s="312"/>
      <c r="W18" s="313"/>
      <c r="X18" s="311"/>
      <c r="Y18" s="312"/>
      <c r="Z18" s="313"/>
      <c r="AA18" s="311"/>
      <c r="AB18" s="312"/>
      <c r="AC18" s="313"/>
      <c r="AD18" s="104">
        <f aca="true" t="shared" si="33" ref="AD18:AF20">U18+X18+AA18</f>
        <v>0</v>
      </c>
      <c r="AE18" s="105">
        <f t="shared" si="33"/>
        <v>0</v>
      </c>
      <c r="AF18" s="449">
        <f t="shared" si="33"/>
        <v>0</v>
      </c>
      <c r="AG18" s="311"/>
      <c r="AH18" s="312"/>
      <c r="AI18" s="313"/>
      <c r="AJ18" s="311"/>
      <c r="AK18" s="312"/>
      <c r="AL18" s="314"/>
      <c r="AM18" s="311"/>
      <c r="AN18" s="312"/>
      <c r="AO18" s="314"/>
      <c r="AP18" s="267">
        <f aca="true" t="shared" si="34" ref="AP18:AR20">AG18+AJ18+AM18</f>
        <v>0</v>
      </c>
      <c r="AQ18" s="268">
        <f t="shared" si="34"/>
        <v>0</v>
      </c>
      <c r="AR18" s="482">
        <f t="shared" si="34"/>
        <v>0</v>
      </c>
      <c r="AS18" s="311"/>
      <c r="AT18" s="314"/>
      <c r="AU18" s="356"/>
      <c r="AV18" s="311"/>
      <c r="AW18" s="312"/>
      <c r="AX18" s="314"/>
      <c r="AY18" s="311"/>
      <c r="AZ18" s="312"/>
      <c r="BA18" s="314"/>
      <c r="BB18" s="267">
        <f aca="true" t="shared" si="35" ref="BB18:BD20">AS18+AV18+AY18</f>
        <v>0</v>
      </c>
      <c r="BC18" s="268">
        <f t="shared" si="35"/>
        <v>0</v>
      </c>
      <c r="BD18" s="462">
        <f t="shared" si="35"/>
        <v>0</v>
      </c>
      <c r="BE18" s="311"/>
      <c r="BF18" s="312"/>
      <c r="BG18" s="314"/>
      <c r="BH18" s="311"/>
      <c r="BI18" s="312"/>
      <c r="BJ18" s="314"/>
      <c r="BK18" s="311"/>
      <c r="BL18" s="312"/>
      <c r="BM18" s="313"/>
      <c r="BN18" s="311">
        <f aca="true" t="shared" si="36" ref="BN18:BP20">BE18+BH18+BK18</f>
        <v>0</v>
      </c>
      <c r="BO18" s="312">
        <f t="shared" si="36"/>
        <v>0</v>
      </c>
      <c r="BP18" s="313">
        <f t="shared" si="36"/>
        <v>0</v>
      </c>
      <c r="BQ18" s="360">
        <f aca="true" t="shared" si="37" ref="BQ18:BS20">AD18+AP18+BB18+BN18</f>
        <v>0</v>
      </c>
      <c r="BR18" s="361">
        <f t="shared" si="37"/>
        <v>0</v>
      </c>
      <c r="BS18" s="419">
        <f t="shared" si="37"/>
        <v>0</v>
      </c>
      <c r="BT18" s="485">
        <f>Q18-BR18</f>
        <v>0</v>
      </c>
      <c r="BU18" s="356">
        <f>Q18-BQ18</f>
        <v>0</v>
      </c>
      <c r="BV18" s="32"/>
      <c r="BW18" s="403"/>
      <c r="BX18" s="472"/>
      <c r="BY18" s="490"/>
      <c r="BZ18" s="529">
        <f t="shared" si="5"/>
        <v>0</v>
      </c>
      <c r="CA18" s="133">
        <f t="shared" si="6"/>
        <v>0</v>
      </c>
      <c r="CB18" s="476"/>
      <c r="CC18" s="209"/>
    </row>
    <row r="19" spans="1:81" s="1" customFormat="1" ht="18" customHeight="1">
      <c r="A19" s="716" t="s">
        <v>35</v>
      </c>
      <c r="B19" s="7" t="s">
        <v>12</v>
      </c>
      <c r="C19" s="81">
        <f>624390-400000-100000</f>
        <v>124390</v>
      </c>
      <c r="D19" s="51">
        <v>32495.08</v>
      </c>
      <c r="E19" s="104">
        <v>78310.42</v>
      </c>
      <c r="F19" s="105">
        <v>124153.7</v>
      </c>
      <c r="G19" s="146">
        <v>94484.25</v>
      </c>
      <c r="H19" s="137">
        <v>236.3000000000029</v>
      </c>
      <c r="I19" s="98"/>
      <c r="J19" s="389">
        <v>78338.37</v>
      </c>
      <c r="K19" s="133">
        <v>6525.868333333333</v>
      </c>
      <c r="L19" s="176"/>
      <c r="M19" s="171"/>
      <c r="N19" s="291"/>
      <c r="O19" s="229">
        <v>0</v>
      </c>
      <c r="P19" s="240">
        <v>74910</v>
      </c>
      <c r="Q19" s="247">
        <f>O19+R19+S19+T19</f>
        <v>30000</v>
      </c>
      <c r="R19" s="240">
        <v>0</v>
      </c>
      <c r="S19" s="240">
        <v>25000</v>
      </c>
      <c r="T19" s="240">
        <f>74880-29880-40000</f>
        <v>5000</v>
      </c>
      <c r="U19" s="311">
        <v>0</v>
      </c>
      <c r="V19" s="312"/>
      <c r="W19" s="313">
        <v>26286.93</v>
      </c>
      <c r="X19" s="311">
        <v>6808.14</v>
      </c>
      <c r="Y19" s="312"/>
      <c r="Z19" s="313">
        <v>3364.05</v>
      </c>
      <c r="AA19" s="311">
        <v>1270.94</v>
      </c>
      <c r="AB19" s="312"/>
      <c r="AC19" s="313"/>
      <c r="AD19" s="104">
        <f t="shared" si="33"/>
        <v>8079.08</v>
      </c>
      <c r="AE19" s="105">
        <f t="shared" si="33"/>
        <v>0</v>
      </c>
      <c r="AF19" s="449">
        <f t="shared" si="33"/>
        <v>29650.98</v>
      </c>
      <c r="AG19" s="311">
        <v>0</v>
      </c>
      <c r="AH19" s="312"/>
      <c r="AI19" s="313"/>
      <c r="AJ19" s="311"/>
      <c r="AK19" s="312"/>
      <c r="AL19" s="314"/>
      <c r="AM19" s="311">
        <v>21208.89</v>
      </c>
      <c r="AN19" s="312"/>
      <c r="AO19" s="314"/>
      <c r="AP19" s="267">
        <f t="shared" si="34"/>
        <v>21208.89</v>
      </c>
      <c r="AQ19" s="268">
        <f t="shared" si="34"/>
        <v>0</v>
      </c>
      <c r="AR19" s="482">
        <f t="shared" si="34"/>
        <v>0</v>
      </c>
      <c r="AS19" s="311">
        <v>5083.76</v>
      </c>
      <c r="AT19" s="314"/>
      <c r="AU19" s="356"/>
      <c r="AV19" s="311">
        <v>10092.14</v>
      </c>
      <c r="AW19" s="312"/>
      <c r="AX19" s="314"/>
      <c r="AY19" s="311">
        <v>0</v>
      </c>
      <c r="AZ19" s="312"/>
      <c r="BA19" s="314"/>
      <c r="BB19" s="267">
        <f t="shared" si="35"/>
        <v>15175.9</v>
      </c>
      <c r="BC19" s="268">
        <f t="shared" si="35"/>
        <v>0</v>
      </c>
      <c r="BD19" s="462">
        <f t="shared" si="35"/>
        <v>0</v>
      </c>
      <c r="BE19" s="311">
        <v>9251.13</v>
      </c>
      <c r="BF19" s="312"/>
      <c r="BG19" s="314"/>
      <c r="BH19" s="311">
        <v>3993.76</v>
      </c>
      <c r="BI19" s="312"/>
      <c r="BJ19" s="314"/>
      <c r="BK19" s="311"/>
      <c r="BL19" s="312"/>
      <c r="BM19" s="313"/>
      <c r="BN19" s="311">
        <f t="shared" si="36"/>
        <v>13244.89</v>
      </c>
      <c r="BO19" s="312">
        <f t="shared" si="36"/>
        <v>0</v>
      </c>
      <c r="BP19" s="313">
        <f t="shared" si="36"/>
        <v>0</v>
      </c>
      <c r="BQ19" s="360">
        <f t="shared" si="37"/>
        <v>57708.76</v>
      </c>
      <c r="BR19" s="361">
        <f t="shared" si="37"/>
        <v>0</v>
      </c>
      <c r="BS19" s="419">
        <f t="shared" si="37"/>
        <v>29650.98</v>
      </c>
      <c r="BT19" s="485">
        <f>Q19-BR19</f>
        <v>30000</v>
      </c>
      <c r="BU19" s="356"/>
      <c r="BV19" s="32">
        <f>J19+BR19-BQ19</f>
        <v>20629.609999999993</v>
      </c>
      <c r="BW19" s="403"/>
      <c r="BX19" s="469">
        <v>-24970</v>
      </c>
      <c r="BY19" s="489">
        <f>BR19-BZ19</f>
        <v>-25000</v>
      </c>
      <c r="BZ19" s="529">
        <f t="shared" si="5"/>
        <v>25000</v>
      </c>
      <c r="CA19" s="133">
        <f t="shared" si="6"/>
        <v>5246.250909090909</v>
      </c>
      <c r="CB19" s="476">
        <v>0</v>
      </c>
      <c r="CC19" s="206">
        <v>3000</v>
      </c>
    </row>
    <row r="20" spans="1:81" s="1" customFormat="1" ht="18" customHeight="1" thickBot="1">
      <c r="A20" s="717"/>
      <c r="B20" s="22" t="s">
        <v>13</v>
      </c>
      <c r="C20" s="83">
        <f>70220+5760+8500</f>
        <v>84480</v>
      </c>
      <c r="D20" s="50">
        <v>27041.07</v>
      </c>
      <c r="E20" s="104">
        <v>97144.14</v>
      </c>
      <c r="F20" s="105">
        <v>82975.35</v>
      </c>
      <c r="G20" s="146">
        <v>77777.28</v>
      </c>
      <c r="H20" s="137">
        <v>1504.6500000000087</v>
      </c>
      <c r="I20" s="98"/>
      <c r="J20" s="389">
        <v>12872.29</v>
      </c>
      <c r="K20" s="133">
        <v>8095.345</v>
      </c>
      <c r="L20" s="182"/>
      <c r="M20" s="193"/>
      <c r="N20" s="291"/>
      <c r="O20" s="233">
        <v>21170</v>
      </c>
      <c r="P20" s="243">
        <f>67890-2570</f>
        <v>65320</v>
      </c>
      <c r="Q20" s="247">
        <f>O20+R20+S20+T20</f>
        <v>107000</v>
      </c>
      <c r="R20" s="243">
        <v>25200</v>
      </c>
      <c r="S20" s="243">
        <v>25200</v>
      </c>
      <c r="T20" s="240">
        <f>18950+12150+4330</f>
        <v>35430</v>
      </c>
      <c r="U20" s="311">
        <v>8334.58</v>
      </c>
      <c r="V20" s="312"/>
      <c r="W20" s="313"/>
      <c r="X20" s="311">
        <v>0</v>
      </c>
      <c r="Y20" s="312"/>
      <c r="Z20" s="313">
        <v>20743.84</v>
      </c>
      <c r="AA20" s="311">
        <v>15632.17</v>
      </c>
      <c r="AB20" s="312">
        <v>20709.65</v>
      </c>
      <c r="AC20" s="313"/>
      <c r="AD20" s="104">
        <f t="shared" si="33"/>
        <v>23966.75</v>
      </c>
      <c r="AE20" s="105">
        <f t="shared" si="33"/>
        <v>20709.65</v>
      </c>
      <c r="AF20" s="449">
        <f t="shared" si="33"/>
        <v>20743.84</v>
      </c>
      <c r="AG20" s="311">
        <v>8320.84</v>
      </c>
      <c r="AH20" s="312"/>
      <c r="AI20" s="313"/>
      <c r="AJ20" s="311">
        <v>8320.84</v>
      </c>
      <c r="AK20" s="312">
        <v>23298.36</v>
      </c>
      <c r="AL20" s="314">
        <v>20709.65</v>
      </c>
      <c r="AM20" s="311">
        <v>8320.84</v>
      </c>
      <c r="AN20" s="312"/>
      <c r="AO20" s="314"/>
      <c r="AP20" s="267">
        <f t="shared" si="34"/>
        <v>24962.52</v>
      </c>
      <c r="AQ20" s="268">
        <f t="shared" si="34"/>
        <v>23298.36</v>
      </c>
      <c r="AR20" s="482">
        <f t="shared" si="34"/>
        <v>20709.65</v>
      </c>
      <c r="AS20" s="311">
        <v>8320.84</v>
      </c>
      <c r="AT20" s="314">
        <v>25887.06</v>
      </c>
      <c r="AU20" s="356">
        <v>23298.36</v>
      </c>
      <c r="AV20" s="311">
        <v>8320.84</v>
      </c>
      <c r="AW20" s="312"/>
      <c r="AX20" s="314"/>
      <c r="AY20" s="311">
        <v>8320.84</v>
      </c>
      <c r="AZ20" s="312"/>
      <c r="BA20" s="314">
        <v>25887.06</v>
      </c>
      <c r="BB20" s="267">
        <f t="shared" si="35"/>
        <v>24962.52</v>
      </c>
      <c r="BC20" s="268">
        <f t="shared" si="35"/>
        <v>25887.06</v>
      </c>
      <c r="BD20" s="462">
        <f t="shared" si="35"/>
        <v>49185.42</v>
      </c>
      <c r="BE20" s="311">
        <v>8320.84</v>
      </c>
      <c r="BF20" s="312"/>
      <c r="BG20" s="314"/>
      <c r="BH20" s="311">
        <v>8320.84</v>
      </c>
      <c r="BI20" s="312">
        <v>25887.06</v>
      </c>
      <c r="BJ20" s="314"/>
      <c r="BK20" s="311"/>
      <c r="BL20" s="312"/>
      <c r="BM20" s="313"/>
      <c r="BN20" s="311">
        <f t="shared" si="36"/>
        <v>16641.68</v>
      </c>
      <c r="BO20" s="312">
        <f t="shared" si="36"/>
        <v>25887.06</v>
      </c>
      <c r="BP20" s="313">
        <f t="shared" si="36"/>
        <v>0</v>
      </c>
      <c r="BQ20" s="360">
        <f t="shared" si="37"/>
        <v>90533.47</v>
      </c>
      <c r="BR20" s="361">
        <f t="shared" si="37"/>
        <v>95782.13</v>
      </c>
      <c r="BS20" s="419">
        <f t="shared" si="37"/>
        <v>90638.91</v>
      </c>
      <c r="BT20" s="485">
        <f>Q20-BR20</f>
        <v>11217.869999999995</v>
      </c>
      <c r="BU20" s="356"/>
      <c r="BV20" s="32">
        <f>J20+BR20-BQ20</f>
        <v>18120.95000000001</v>
      </c>
      <c r="BW20" s="403"/>
      <c r="BX20" s="469">
        <v>-4490.35</v>
      </c>
      <c r="BY20" s="489">
        <f>BR20-BZ20</f>
        <v>24212.130000000005</v>
      </c>
      <c r="BZ20" s="529">
        <f t="shared" si="5"/>
        <v>71570</v>
      </c>
      <c r="CA20" s="133">
        <f t="shared" si="6"/>
        <v>8230.315454545454</v>
      </c>
      <c r="CB20" s="476">
        <v>0</v>
      </c>
      <c r="CC20" s="210">
        <v>9000</v>
      </c>
    </row>
    <row r="21" spans="1:81" s="1" customFormat="1" ht="19.5" customHeight="1" thickBot="1">
      <c r="A21" s="723" t="s">
        <v>14</v>
      </c>
      <c r="B21" s="724"/>
      <c r="C21" s="84">
        <f>C19+C20</f>
        <v>208870</v>
      </c>
      <c r="D21" s="33">
        <f>D19+D20</f>
        <v>59536.15</v>
      </c>
      <c r="E21" s="70">
        <v>175454.56</v>
      </c>
      <c r="F21" s="70">
        <v>207129.05</v>
      </c>
      <c r="G21" s="148">
        <v>172261.53</v>
      </c>
      <c r="H21" s="62">
        <v>1740.9500000000116</v>
      </c>
      <c r="I21" s="65">
        <v>0</v>
      </c>
      <c r="J21" s="390">
        <v>91210.64</v>
      </c>
      <c r="K21" s="133">
        <v>14621.213333333333</v>
      </c>
      <c r="L21" s="180"/>
      <c r="M21" s="197">
        <v>-1740.9500000000116</v>
      </c>
      <c r="N21" s="291"/>
      <c r="O21" s="231">
        <f aca="true" t="shared" si="38" ref="O21:AT21">O19+O20</f>
        <v>21170</v>
      </c>
      <c r="P21" s="231">
        <f t="shared" si="38"/>
        <v>140230</v>
      </c>
      <c r="Q21" s="378">
        <f t="shared" si="38"/>
        <v>137000</v>
      </c>
      <c r="R21" s="348">
        <f t="shared" si="38"/>
        <v>25200</v>
      </c>
      <c r="S21" s="348">
        <f t="shared" si="38"/>
        <v>50200</v>
      </c>
      <c r="T21" s="348">
        <f t="shared" si="38"/>
        <v>40430</v>
      </c>
      <c r="U21" s="365">
        <f t="shared" si="38"/>
        <v>8334.58</v>
      </c>
      <c r="V21" s="365">
        <f t="shared" si="38"/>
        <v>0</v>
      </c>
      <c r="W21" s="365">
        <f t="shared" si="38"/>
        <v>26286.93</v>
      </c>
      <c r="X21" s="365">
        <f t="shared" si="38"/>
        <v>6808.14</v>
      </c>
      <c r="Y21" s="365">
        <f t="shared" si="38"/>
        <v>0</v>
      </c>
      <c r="Z21" s="365">
        <f t="shared" si="38"/>
        <v>24107.89</v>
      </c>
      <c r="AA21" s="365">
        <f t="shared" si="38"/>
        <v>16903.11</v>
      </c>
      <c r="AB21" s="365">
        <f t="shared" si="38"/>
        <v>20709.65</v>
      </c>
      <c r="AC21" s="423">
        <f t="shared" si="38"/>
        <v>0</v>
      </c>
      <c r="AD21" s="421">
        <f t="shared" si="38"/>
        <v>32045.83</v>
      </c>
      <c r="AE21" s="421">
        <f t="shared" si="38"/>
        <v>20709.65</v>
      </c>
      <c r="AF21" s="452">
        <f t="shared" si="38"/>
        <v>50394.82</v>
      </c>
      <c r="AG21" s="423">
        <f t="shared" si="38"/>
        <v>8320.84</v>
      </c>
      <c r="AH21" s="423">
        <f t="shared" si="38"/>
        <v>0</v>
      </c>
      <c r="AI21" s="423">
        <f t="shared" si="38"/>
        <v>0</v>
      </c>
      <c r="AJ21" s="423">
        <f t="shared" si="38"/>
        <v>8320.84</v>
      </c>
      <c r="AK21" s="423">
        <f t="shared" si="38"/>
        <v>23298.36</v>
      </c>
      <c r="AL21" s="423">
        <f t="shared" si="38"/>
        <v>20709.65</v>
      </c>
      <c r="AM21" s="423">
        <f t="shared" si="38"/>
        <v>29529.73</v>
      </c>
      <c r="AN21" s="423">
        <f t="shared" si="38"/>
        <v>0</v>
      </c>
      <c r="AO21" s="365">
        <f t="shared" si="38"/>
        <v>0</v>
      </c>
      <c r="AP21" s="452">
        <f t="shared" si="38"/>
        <v>46171.41</v>
      </c>
      <c r="AQ21" s="452">
        <f t="shared" si="38"/>
        <v>23298.36</v>
      </c>
      <c r="AR21" s="421">
        <f t="shared" si="38"/>
        <v>20709.65</v>
      </c>
      <c r="AS21" s="423">
        <f t="shared" si="38"/>
        <v>13404.6</v>
      </c>
      <c r="AT21" s="365">
        <f t="shared" si="38"/>
        <v>25887.06</v>
      </c>
      <c r="AU21" s="479">
        <f aca="true" t="shared" si="39" ref="AU21:BV21">AU19+AU20</f>
        <v>23298.36</v>
      </c>
      <c r="AV21" s="423">
        <f t="shared" si="39"/>
        <v>18412.98</v>
      </c>
      <c r="AW21" s="423">
        <f t="shared" si="39"/>
        <v>0</v>
      </c>
      <c r="AX21" s="365">
        <f t="shared" si="39"/>
        <v>0</v>
      </c>
      <c r="AY21" s="423">
        <f t="shared" si="39"/>
        <v>8320.84</v>
      </c>
      <c r="AZ21" s="423">
        <f t="shared" si="39"/>
        <v>0</v>
      </c>
      <c r="BA21" s="365">
        <f t="shared" si="39"/>
        <v>25887.06</v>
      </c>
      <c r="BB21" s="365">
        <f t="shared" si="39"/>
        <v>40138.42</v>
      </c>
      <c r="BC21" s="365">
        <f t="shared" si="39"/>
        <v>25887.06</v>
      </c>
      <c r="BD21" s="365">
        <f t="shared" si="39"/>
        <v>49185.42</v>
      </c>
      <c r="BE21" s="365">
        <f t="shared" si="39"/>
        <v>17571.97</v>
      </c>
      <c r="BF21" s="365">
        <f t="shared" si="39"/>
        <v>0</v>
      </c>
      <c r="BG21" s="365">
        <f t="shared" si="39"/>
        <v>0</v>
      </c>
      <c r="BH21" s="365">
        <f t="shared" si="39"/>
        <v>12314.6</v>
      </c>
      <c r="BI21" s="365">
        <f t="shared" si="39"/>
        <v>25887.06</v>
      </c>
      <c r="BJ21" s="365">
        <f t="shared" si="39"/>
        <v>0</v>
      </c>
      <c r="BK21" s="365">
        <f t="shared" si="39"/>
        <v>0</v>
      </c>
      <c r="BL21" s="365">
        <f t="shared" si="39"/>
        <v>0</v>
      </c>
      <c r="BM21" s="423">
        <f t="shared" si="39"/>
        <v>0</v>
      </c>
      <c r="BN21" s="423">
        <f t="shared" si="39"/>
        <v>29886.57</v>
      </c>
      <c r="BO21" s="423">
        <f t="shared" si="39"/>
        <v>25887.06</v>
      </c>
      <c r="BP21" s="423">
        <f t="shared" si="39"/>
        <v>0</v>
      </c>
      <c r="BQ21" s="423">
        <f t="shared" si="39"/>
        <v>148242.23</v>
      </c>
      <c r="BR21" s="423">
        <f t="shared" si="39"/>
        <v>95782.13</v>
      </c>
      <c r="BS21" s="365">
        <f t="shared" si="39"/>
        <v>120289.89</v>
      </c>
      <c r="BT21" s="411">
        <f t="shared" si="39"/>
        <v>41217.869999999995</v>
      </c>
      <c r="BU21" s="365">
        <f t="shared" si="39"/>
        <v>0</v>
      </c>
      <c r="BV21" s="365">
        <f t="shared" si="39"/>
        <v>38750.560000000005</v>
      </c>
      <c r="BW21" s="365"/>
      <c r="BX21" s="365">
        <f aca="true" t="shared" si="40" ref="BX21:CC21">BX19+BX20</f>
        <v>-29460.35</v>
      </c>
      <c r="BY21" s="365">
        <f t="shared" si="40"/>
        <v>-787.8699999999953</v>
      </c>
      <c r="BZ21" s="365">
        <f t="shared" si="40"/>
        <v>96570</v>
      </c>
      <c r="CA21" s="365">
        <f t="shared" si="40"/>
        <v>13476.566363636364</v>
      </c>
      <c r="CB21" s="423">
        <f t="shared" si="40"/>
        <v>0</v>
      </c>
      <c r="CC21" s="549">
        <f t="shared" si="40"/>
        <v>12000</v>
      </c>
    </row>
    <row r="22" spans="1:81" s="1" customFormat="1" ht="18" customHeight="1">
      <c r="A22" s="716" t="s">
        <v>34</v>
      </c>
      <c r="B22" s="7" t="s">
        <v>0</v>
      </c>
      <c r="C22" s="81">
        <f>6930+19960-1800+320+3550+1650</f>
        <v>30610</v>
      </c>
      <c r="D22" s="51"/>
      <c r="E22" s="104">
        <v>28400.14</v>
      </c>
      <c r="F22" s="105">
        <v>0</v>
      </c>
      <c r="G22" s="146">
        <v>0</v>
      </c>
      <c r="H22" s="137"/>
      <c r="I22" s="98">
        <v>2209.86</v>
      </c>
      <c r="J22" s="389"/>
      <c r="K22" s="133">
        <v>2366.6783333333333</v>
      </c>
      <c r="L22" s="176"/>
      <c r="M22" s="39">
        <v>-2209.86</v>
      </c>
      <c r="N22" s="291"/>
      <c r="O22" s="232">
        <v>7520</v>
      </c>
      <c r="P22" s="242">
        <v>16550</v>
      </c>
      <c r="Q22" s="249">
        <f aca="true" t="shared" si="41" ref="Q22:Q27">O22+R22+S22+T22</f>
        <v>27720</v>
      </c>
      <c r="R22" s="242">
        <v>7500</v>
      </c>
      <c r="S22" s="242">
        <f>7500-2430</f>
        <v>5070</v>
      </c>
      <c r="T22" s="242">
        <f>1550+3040+3040</f>
        <v>7630</v>
      </c>
      <c r="U22" s="311">
        <v>2074.65</v>
      </c>
      <c r="V22" s="312"/>
      <c r="W22" s="313"/>
      <c r="X22" s="311">
        <v>3364.29</v>
      </c>
      <c r="Y22" s="312"/>
      <c r="Z22" s="313"/>
      <c r="AA22" s="311">
        <v>841.06</v>
      </c>
      <c r="AB22" s="312"/>
      <c r="AC22" s="313"/>
      <c r="AD22" s="104">
        <f aca="true" t="shared" si="42" ref="AD22:AF27">U22+X22+AA22</f>
        <v>6280</v>
      </c>
      <c r="AE22" s="105">
        <f t="shared" si="42"/>
        <v>0</v>
      </c>
      <c r="AF22" s="449">
        <f t="shared" si="42"/>
        <v>0</v>
      </c>
      <c r="AG22" s="311">
        <v>1682.14</v>
      </c>
      <c r="AH22" s="312"/>
      <c r="AI22" s="313"/>
      <c r="AJ22" s="311">
        <v>2943.75</v>
      </c>
      <c r="AK22" s="312"/>
      <c r="AL22" s="314"/>
      <c r="AM22" s="311">
        <v>1682.16</v>
      </c>
      <c r="AN22" s="312"/>
      <c r="AO22" s="314"/>
      <c r="AP22" s="267">
        <f aca="true" t="shared" si="43" ref="AP22:AR27">AG22+AJ22+AM22</f>
        <v>6308.05</v>
      </c>
      <c r="AQ22" s="268">
        <f t="shared" si="43"/>
        <v>0</v>
      </c>
      <c r="AR22" s="482">
        <f t="shared" si="43"/>
        <v>0</v>
      </c>
      <c r="AS22" s="311">
        <v>2102.66</v>
      </c>
      <c r="AT22" s="314"/>
      <c r="AU22" s="356"/>
      <c r="AV22" s="311">
        <v>3784.81</v>
      </c>
      <c r="AW22" s="312"/>
      <c r="AX22" s="314"/>
      <c r="AY22" s="311">
        <v>2523.2</v>
      </c>
      <c r="AZ22" s="312"/>
      <c r="BA22" s="314"/>
      <c r="BB22" s="267">
        <f aca="true" t="shared" si="44" ref="BB22:BD27">AS22+AV22+AY22</f>
        <v>8410.669999999998</v>
      </c>
      <c r="BC22" s="268">
        <f t="shared" si="44"/>
        <v>0</v>
      </c>
      <c r="BD22" s="462">
        <f t="shared" si="44"/>
        <v>0</v>
      </c>
      <c r="BE22" s="311">
        <v>2102.68</v>
      </c>
      <c r="BF22" s="312"/>
      <c r="BG22" s="314"/>
      <c r="BH22" s="311">
        <v>3784.82</v>
      </c>
      <c r="BI22" s="312"/>
      <c r="BJ22" s="314"/>
      <c r="BK22" s="311"/>
      <c r="BL22" s="312"/>
      <c r="BM22" s="313"/>
      <c r="BN22" s="311">
        <f aca="true" t="shared" si="45" ref="BN22:BP27">BE22+BH22+BK22</f>
        <v>5887.5</v>
      </c>
      <c r="BO22" s="312">
        <f t="shared" si="45"/>
        <v>0</v>
      </c>
      <c r="BP22" s="313">
        <f t="shared" si="45"/>
        <v>0</v>
      </c>
      <c r="BQ22" s="360">
        <f aca="true" t="shared" si="46" ref="BQ22:BS27">AD22+AP22+BB22+BN22</f>
        <v>26886.219999999998</v>
      </c>
      <c r="BR22" s="361">
        <f t="shared" si="46"/>
        <v>0</v>
      </c>
      <c r="BS22" s="419">
        <f t="shared" si="46"/>
        <v>0</v>
      </c>
      <c r="BT22" s="485"/>
      <c r="BU22" s="356">
        <f>Q22-BQ22</f>
        <v>833.7800000000025</v>
      </c>
      <c r="BV22" s="32"/>
      <c r="BW22" s="403"/>
      <c r="BX22" s="469">
        <v>-1240</v>
      </c>
      <c r="BY22" s="489">
        <f>BQ22-BZ22</f>
        <v>6796.2199999999975</v>
      </c>
      <c r="BZ22" s="529">
        <f t="shared" si="5"/>
        <v>20090</v>
      </c>
      <c r="CA22" s="133">
        <f t="shared" si="6"/>
        <v>2444.201818181818</v>
      </c>
      <c r="CB22" s="476">
        <v>0</v>
      </c>
      <c r="CC22" s="209">
        <v>2000</v>
      </c>
    </row>
    <row r="23" spans="1:81" s="1" customFormat="1" ht="19.5" customHeight="1" thickBot="1">
      <c r="A23" s="718"/>
      <c r="B23" s="24" t="s">
        <v>30</v>
      </c>
      <c r="C23" s="83">
        <f>943490+35400+72000+1000</f>
        <v>1051890</v>
      </c>
      <c r="D23" s="52">
        <v>238686.46</v>
      </c>
      <c r="E23" s="104">
        <v>1193432.27</v>
      </c>
      <c r="F23" s="105">
        <v>1050220.4</v>
      </c>
      <c r="G23" s="146">
        <v>1193446.16</v>
      </c>
      <c r="H23" s="137">
        <v>1669.6000000000931</v>
      </c>
      <c r="I23" s="98"/>
      <c r="J23" s="389">
        <v>95474.58</v>
      </c>
      <c r="K23" s="133">
        <v>99452.68916666666</v>
      </c>
      <c r="L23" s="177"/>
      <c r="M23" s="38">
        <v>-1669.6000000000931</v>
      </c>
      <c r="N23" s="291"/>
      <c r="O23" s="229">
        <v>303010</v>
      </c>
      <c r="P23" s="240">
        <f>612210+8220</f>
        <v>620430</v>
      </c>
      <c r="Q23" s="249">
        <f t="shared" si="41"/>
        <v>1300860</v>
      </c>
      <c r="R23" s="240">
        <v>286500</v>
      </c>
      <c r="S23" s="240">
        <f>269840</f>
        <v>269840</v>
      </c>
      <c r="T23" s="242">
        <f>39360-16660+95480+161670+161660</f>
        <v>441510</v>
      </c>
      <c r="U23" s="311">
        <v>95474.58</v>
      </c>
      <c r="V23" s="312"/>
      <c r="W23" s="313">
        <v>190939.69</v>
      </c>
      <c r="X23" s="311">
        <v>95474.58</v>
      </c>
      <c r="Y23" s="312">
        <v>274489.42</v>
      </c>
      <c r="Z23" s="313">
        <v>9.47</v>
      </c>
      <c r="AA23" s="311">
        <v>95474.58</v>
      </c>
      <c r="AB23" s="312"/>
      <c r="AC23" s="313"/>
      <c r="AD23" s="104">
        <f t="shared" si="42"/>
        <v>286423.74</v>
      </c>
      <c r="AE23" s="105">
        <f t="shared" si="42"/>
        <v>274489.42</v>
      </c>
      <c r="AF23" s="449">
        <f t="shared" si="42"/>
        <v>190949.16</v>
      </c>
      <c r="AG23" s="311">
        <v>95474.58</v>
      </c>
      <c r="AH23" s="312">
        <v>59671.61</v>
      </c>
      <c r="AI23" s="313">
        <v>274477.68</v>
      </c>
      <c r="AJ23" s="311">
        <v>119343.23</v>
      </c>
      <c r="AK23" s="312">
        <v>143211.87</v>
      </c>
      <c r="AL23" s="314">
        <v>11.74</v>
      </c>
      <c r="AM23" s="311">
        <v>83540.26</v>
      </c>
      <c r="AN23" s="312">
        <v>95474.58</v>
      </c>
      <c r="AO23" s="314">
        <v>59671.61</v>
      </c>
      <c r="AP23" s="267">
        <f t="shared" si="43"/>
        <v>298358.07</v>
      </c>
      <c r="AQ23" s="268">
        <f t="shared" si="43"/>
        <v>298358.06</v>
      </c>
      <c r="AR23" s="482">
        <f t="shared" si="43"/>
        <v>334161.02999999997</v>
      </c>
      <c r="AS23" s="311">
        <v>119343.22</v>
      </c>
      <c r="AT23" s="314">
        <v>143211.87</v>
      </c>
      <c r="AU23" s="356">
        <v>143211.87</v>
      </c>
      <c r="AV23" s="311">
        <v>95474.58</v>
      </c>
      <c r="AW23" s="312">
        <v>95474.58</v>
      </c>
      <c r="AX23" s="314">
        <v>95473.7</v>
      </c>
      <c r="AY23" s="311">
        <v>95474.58</v>
      </c>
      <c r="AZ23" s="312">
        <v>47737.29</v>
      </c>
      <c r="BA23" s="314">
        <v>143205.31</v>
      </c>
      <c r="BB23" s="267">
        <f t="shared" si="44"/>
        <v>310292.38</v>
      </c>
      <c r="BC23" s="268">
        <f t="shared" si="44"/>
        <v>286423.74</v>
      </c>
      <c r="BD23" s="462">
        <f t="shared" si="44"/>
        <v>381890.88</v>
      </c>
      <c r="BE23" s="311">
        <v>119343.22</v>
      </c>
      <c r="BF23" s="312">
        <v>95474.58</v>
      </c>
      <c r="BG23" s="314">
        <v>95470.05</v>
      </c>
      <c r="BH23" s="311">
        <v>95474.58</v>
      </c>
      <c r="BI23" s="312">
        <v>143211.87</v>
      </c>
      <c r="BJ23" s="314">
        <v>47749.26</v>
      </c>
      <c r="BK23" s="311"/>
      <c r="BL23" s="312"/>
      <c r="BM23" s="313"/>
      <c r="BN23" s="311">
        <f t="shared" si="45"/>
        <v>214817.8</v>
      </c>
      <c r="BO23" s="312">
        <f t="shared" si="45"/>
        <v>238686.45</v>
      </c>
      <c r="BP23" s="313">
        <f t="shared" si="45"/>
        <v>143219.31</v>
      </c>
      <c r="BQ23" s="360">
        <f t="shared" si="46"/>
        <v>1109891.99</v>
      </c>
      <c r="BR23" s="361">
        <f t="shared" si="46"/>
        <v>1097957.67</v>
      </c>
      <c r="BS23" s="419">
        <f t="shared" si="46"/>
        <v>1050220.38</v>
      </c>
      <c r="BT23" s="485">
        <f>Q23-BR23</f>
        <v>202902.33000000007</v>
      </c>
      <c r="BU23" s="356"/>
      <c r="BV23" s="32">
        <f>J23+BR23-BQ23</f>
        <v>83540.26000000001</v>
      </c>
      <c r="BW23" s="403"/>
      <c r="BX23" s="469">
        <v>-28520.58</v>
      </c>
      <c r="BY23" s="489">
        <f>BR23-BZ23</f>
        <v>238607.66999999993</v>
      </c>
      <c r="BZ23" s="529">
        <f t="shared" si="5"/>
        <v>859350</v>
      </c>
      <c r="CA23" s="133">
        <f t="shared" si="6"/>
        <v>100899.27181818182</v>
      </c>
      <c r="CB23" s="476">
        <v>0</v>
      </c>
      <c r="CC23" s="206">
        <v>108000</v>
      </c>
    </row>
    <row r="24" spans="1:81" s="1" customFormat="1" ht="15.75" customHeight="1" thickBot="1">
      <c r="A24" s="718"/>
      <c r="B24" s="25" t="s">
        <v>31</v>
      </c>
      <c r="C24" s="82">
        <f>56500+19760+6400-2400</f>
        <v>80260</v>
      </c>
      <c r="D24" s="49"/>
      <c r="E24" s="104">
        <v>94285.38</v>
      </c>
      <c r="F24" s="105">
        <v>0</v>
      </c>
      <c r="G24" s="146">
        <v>0</v>
      </c>
      <c r="H24" s="137"/>
      <c r="I24" s="191">
        <v>-14025.38</v>
      </c>
      <c r="J24" s="389"/>
      <c r="K24" s="133">
        <v>7857.114999999999</v>
      </c>
      <c r="L24" s="173"/>
      <c r="M24" s="196">
        <v>14025.38</v>
      </c>
      <c r="N24" s="291">
        <v>14025.38</v>
      </c>
      <c r="O24" s="229">
        <v>23580</v>
      </c>
      <c r="P24" s="240">
        <v>45980</v>
      </c>
      <c r="Q24" s="249">
        <f t="shared" si="41"/>
        <v>99560</v>
      </c>
      <c r="R24" s="240">
        <v>23600</v>
      </c>
      <c r="S24" s="240">
        <f>22380+8560</f>
        <v>30940</v>
      </c>
      <c r="T24" s="242">
        <f>10720+10720</f>
        <v>21440</v>
      </c>
      <c r="U24" s="311"/>
      <c r="V24" s="312"/>
      <c r="W24" s="313"/>
      <c r="X24" s="311"/>
      <c r="Y24" s="312"/>
      <c r="Z24" s="313"/>
      <c r="AA24" s="311">
        <v>21365.16</v>
      </c>
      <c r="AB24" s="312"/>
      <c r="AC24" s="313"/>
      <c r="AD24" s="104">
        <f t="shared" si="42"/>
        <v>21365.16</v>
      </c>
      <c r="AE24" s="105">
        <f t="shared" si="42"/>
        <v>0</v>
      </c>
      <c r="AF24" s="449">
        <f t="shared" si="42"/>
        <v>0</v>
      </c>
      <c r="AG24" s="311">
        <v>0</v>
      </c>
      <c r="AH24" s="312"/>
      <c r="AI24" s="313"/>
      <c r="AJ24" s="311">
        <v>0</v>
      </c>
      <c r="AK24" s="312"/>
      <c r="AL24" s="314"/>
      <c r="AM24" s="311">
        <v>21365.16</v>
      </c>
      <c r="AN24" s="312"/>
      <c r="AO24" s="314"/>
      <c r="AP24" s="267">
        <f t="shared" si="43"/>
        <v>21365.16</v>
      </c>
      <c r="AQ24" s="268">
        <f t="shared" si="43"/>
        <v>0</v>
      </c>
      <c r="AR24" s="482">
        <f t="shared" si="43"/>
        <v>0</v>
      </c>
      <c r="AS24" s="311">
        <v>0</v>
      </c>
      <c r="AT24" s="314"/>
      <c r="AU24" s="356"/>
      <c r="AV24" s="311">
        <v>0</v>
      </c>
      <c r="AW24" s="312"/>
      <c r="AX24" s="314"/>
      <c r="AY24" s="311">
        <v>21365.16</v>
      </c>
      <c r="AZ24" s="312"/>
      <c r="BA24" s="314"/>
      <c r="BB24" s="267">
        <f t="shared" si="44"/>
        <v>21365.16</v>
      </c>
      <c r="BC24" s="268">
        <f t="shared" si="44"/>
        <v>0</v>
      </c>
      <c r="BD24" s="462">
        <f t="shared" si="44"/>
        <v>0</v>
      </c>
      <c r="BE24" s="311">
        <v>0</v>
      </c>
      <c r="BF24" s="312"/>
      <c r="BG24" s="314"/>
      <c r="BH24" s="311"/>
      <c r="BI24" s="312"/>
      <c r="BJ24" s="314"/>
      <c r="BK24" s="311"/>
      <c r="BL24" s="312"/>
      <c r="BM24" s="313"/>
      <c r="BN24" s="311">
        <f t="shared" si="45"/>
        <v>0</v>
      </c>
      <c r="BO24" s="312">
        <f t="shared" si="45"/>
        <v>0</v>
      </c>
      <c r="BP24" s="313">
        <f t="shared" si="45"/>
        <v>0</v>
      </c>
      <c r="BQ24" s="360">
        <f t="shared" si="46"/>
        <v>64095.479999999996</v>
      </c>
      <c r="BR24" s="361">
        <f t="shared" si="46"/>
        <v>0</v>
      </c>
      <c r="BS24" s="419">
        <f t="shared" si="46"/>
        <v>0</v>
      </c>
      <c r="BT24" s="485"/>
      <c r="BU24" s="356">
        <f>Q24-BQ24</f>
        <v>35464.520000000004</v>
      </c>
      <c r="BV24" s="32"/>
      <c r="BW24" s="403">
        <v>14025.38</v>
      </c>
      <c r="BX24" s="469">
        <v>-2214.84</v>
      </c>
      <c r="BY24" s="489">
        <f>BQ24+BW24-BZ24</f>
        <v>0.8600000000005821</v>
      </c>
      <c r="BZ24" s="529">
        <f t="shared" si="5"/>
        <v>78120</v>
      </c>
      <c r="CA24" s="133">
        <f t="shared" si="6"/>
        <v>5826.861818181817</v>
      </c>
      <c r="CB24" s="476">
        <v>0</v>
      </c>
      <c r="CC24" s="206">
        <v>8000</v>
      </c>
    </row>
    <row r="25" spans="1:81" s="1" customFormat="1" ht="15.75" customHeight="1">
      <c r="A25" s="718"/>
      <c r="B25" s="25" t="s">
        <v>55</v>
      </c>
      <c r="C25" s="82">
        <f>199230+392040+580000-13400</f>
        <v>1157870</v>
      </c>
      <c r="D25" s="49"/>
      <c r="E25" s="104">
        <v>1157822.64</v>
      </c>
      <c r="F25" s="105"/>
      <c r="G25" s="146"/>
      <c r="H25" s="137"/>
      <c r="I25" s="98">
        <v>47.359999999869615</v>
      </c>
      <c r="J25" s="389"/>
      <c r="K25" s="133">
        <v>96485.22</v>
      </c>
      <c r="L25" s="173"/>
      <c r="M25" s="31">
        <v>-47.359999999869615</v>
      </c>
      <c r="N25" s="291"/>
      <c r="O25" s="229">
        <v>591270</v>
      </c>
      <c r="P25" s="240">
        <v>1285370</v>
      </c>
      <c r="Q25" s="249">
        <f t="shared" si="41"/>
        <v>2315650</v>
      </c>
      <c r="R25" s="240">
        <v>566730</v>
      </c>
      <c r="S25" s="240">
        <v>579000</v>
      </c>
      <c r="T25" s="242">
        <f>139640+219500+219510</f>
        <v>578650</v>
      </c>
      <c r="U25" s="311">
        <v>192970.44</v>
      </c>
      <c r="V25" s="312"/>
      <c r="W25" s="313"/>
      <c r="X25" s="311">
        <v>192970.44</v>
      </c>
      <c r="Y25" s="312"/>
      <c r="Z25" s="313"/>
      <c r="AA25" s="311">
        <v>192970.44</v>
      </c>
      <c r="AB25" s="312"/>
      <c r="AC25" s="313"/>
      <c r="AD25" s="104">
        <f t="shared" si="42"/>
        <v>578911.3200000001</v>
      </c>
      <c r="AE25" s="105">
        <f t="shared" si="42"/>
        <v>0</v>
      </c>
      <c r="AF25" s="449">
        <f t="shared" si="42"/>
        <v>0</v>
      </c>
      <c r="AG25" s="311">
        <v>192970.44</v>
      </c>
      <c r="AH25" s="312"/>
      <c r="AI25" s="313"/>
      <c r="AJ25" s="311">
        <v>192970.44</v>
      </c>
      <c r="AK25" s="312"/>
      <c r="AL25" s="314"/>
      <c r="AM25" s="311">
        <v>192970.44</v>
      </c>
      <c r="AN25" s="312"/>
      <c r="AO25" s="314"/>
      <c r="AP25" s="267">
        <f t="shared" si="43"/>
        <v>578911.3200000001</v>
      </c>
      <c r="AQ25" s="268">
        <f t="shared" si="43"/>
        <v>0</v>
      </c>
      <c r="AR25" s="482">
        <f t="shared" si="43"/>
        <v>0</v>
      </c>
      <c r="AS25" s="311">
        <v>192970.44</v>
      </c>
      <c r="AT25" s="314"/>
      <c r="AU25" s="356"/>
      <c r="AV25" s="311">
        <v>192970.44</v>
      </c>
      <c r="AW25" s="312"/>
      <c r="AX25" s="314"/>
      <c r="AY25" s="311">
        <v>192970.44</v>
      </c>
      <c r="AZ25" s="312"/>
      <c r="BA25" s="314"/>
      <c r="BB25" s="267">
        <f t="shared" si="44"/>
        <v>578911.3200000001</v>
      </c>
      <c r="BC25" s="268">
        <f t="shared" si="44"/>
        <v>0</v>
      </c>
      <c r="BD25" s="462">
        <f t="shared" si="44"/>
        <v>0</v>
      </c>
      <c r="BE25" s="311">
        <v>192970.44</v>
      </c>
      <c r="BF25" s="312"/>
      <c r="BG25" s="314"/>
      <c r="BH25" s="311">
        <v>192970.44</v>
      </c>
      <c r="BI25" s="312"/>
      <c r="BJ25" s="314"/>
      <c r="BK25" s="311"/>
      <c r="BL25" s="312"/>
      <c r="BM25" s="313"/>
      <c r="BN25" s="311">
        <f t="shared" si="45"/>
        <v>385940.88</v>
      </c>
      <c r="BO25" s="312">
        <f t="shared" si="45"/>
        <v>0</v>
      </c>
      <c r="BP25" s="313">
        <f t="shared" si="45"/>
        <v>0</v>
      </c>
      <c r="BQ25" s="360">
        <f t="shared" si="46"/>
        <v>2122674.8400000003</v>
      </c>
      <c r="BR25" s="361">
        <f t="shared" si="46"/>
        <v>0</v>
      </c>
      <c r="BS25" s="419">
        <f t="shared" si="46"/>
        <v>0</v>
      </c>
      <c r="BT25" s="485"/>
      <c r="BU25" s="356">
        <f>Q25-BQ25</f>
        <v>192975.15999999968</v>
      </c>
      <c r="BV25" s="32"/>
      <c r="BW25" s="403"/>
      <c r="BX25" s="469">
        <v>-12358.679999999935</v>
      </c>
      <c r="BY25" s="489">
        <f>BQ25-BZ25</f>
        <v>385674.8400000003</v>
      </c>
      <c r="BZ25" s="529">
        <f t="shared" si="5"/>
        <v>1737000</v>
      </c>
      <c r="CA25" s="133">
        <f t="shared" si="6"/>
        <v>192970.44000000003</v>
      </c>
      <c r="CB25" s="476">
        <v>0</v>
      </c>
      <c r="CC25" s="206">
        <v>193000</v>
      </c>
    </row>
    <row r="26" spans="1:81" s="1" customFormat="1" ht="15.75" customHeight="1" thickBot="1">
      <c r="A26" s="718"/>
      <c r="B26" s="25" t="s">
        <v>41</v>
      </c>
      <c r="C26" s="82">
        <f>1510+22950+2420-9260+5030</f>
        <v>22650</v>
      </c>
      <c r="D26" s="49"/>
      <c r="E26" s="104">
        <v>22644.9</v>
      </c>
      <c r="F26" s="105">
        <v>0</v>
      </c>
      <c r="G26" s="146">
        <v>0</v>
      </c>
      <c r="H26" s="137"/>
      <c r="I26" s="201">
        <v>5.100000000002183</v>
      </c>
      <c r="J26" s="389"/>
      <c r="K26" s="133">
        <v>1887.075</v>
      </c>
      <c r="L26" s="173"/>
      <c r="M26" s="199">
        <v>-5.100000000002183</v>
      </c>
      <c r="N26" s="291"/>
      <c r="O26" s="229">
        <v>7560</v>
      </c>
      <c r="P26" s="240">
        <f>10660+2720</f>
        <v>13380</v>
      </c>
      <c r="Q26" s="249">
        <f t="shared" si="41"/>
        <v>32000</v>
      </c>
      <c r="R26" s="240">
        <v>7560</v>
      </c>
      <c r="S26" s="240">
        <f>3100+250</f>
        <v>3350</v>
      </c>
      <c r="T26" s="242">
        <f>4020+4010+5500</f>
        <v>13530</v>
      </c>
      <c r="U26" s="311">
        <v>2516.1</v>
      </c>
      <c r="V26" s="312"/>
      <c r="W26" s="313"/>
      <c r="X26" s="311"/>
      <c r="Y26" s="312"/>
      <c r="Z26" s="313"/>
      <c r="AA26" s="311">
        <v>2516.1</v>
      </c>
      <c r="AB26" s="312"/>
      <c r="AC26" s="313"/>
      <c r="AD26" s="104">
        <f t="shared" si="42"/>
        <v>5032.2</v>
      </c>
      <c r="AE26" s="105">
        <f t="shared" si="42"/>
        <v>0</v>
      </c>
      <c r="AF26" s="449">
        <f t="shared" si="42"/>
        <v>0</v>
      </c>
      <c r="AG26" s="311">
        <v>2683.08</v>
      </c>
      <c r="AH26" s="312"/>
      <c r="AI26" s="313"/>
      <c r="AJ26" s="311">
        <v>2683.08</v>
      </c>
      <c r="AK26" s="312"/>
      <c r="AL26" s="314"/>
      <c r="AM26" s="311">
        <v>0</v>
      </c>
      <c r="AN26" s="312"/>
      <c r="AO26" s="314"/>
      <c r="AP26" s="267">
        <f t="shared" si="43"/>
        <v>5366.16</v>
      </c>
      <c r="AQ26" s="268">
        <f t="shared" si="43"/>
        <v>0</v>
      </c>
      <c r="AR26" s="482">
        <f t="shared" si="43"/>
        <v>0</v>
      </c>
      <c r="AS26" s="311">
        <v>2683.08</v>
      </c>
      <c r="AT26" s="314"/>
      <c r="AU26" s="356"/>
      <c r="AV26" s="311">
        <v>2683.08</v>
      </c>
      <c r="AW26" s="312"/>
      <c r="AX26" s="314"/>
      <c r="AY26" s="311"/>
      <c r="AZ26" s="312"/>
      <c r="BA26" s="314"/>
      <c r="BB26" s="267">
        <f t="shared" si="44"/>
        <v>5366.16</v>
      </c>
      <c r="BC26" s="268">
        <f t="shared" si="44"/>
        <v>0</v>
      </c>
      <c r="BD26" s="462">
        <f t="shared" si="44"/>
        <v>0</v>
      </c>
      <c r="BE26" s="311">
        <v>5407.91</v>
      </c>
      <c r="BF26" s="312"/>
      <c r="BG26" s="314"/>
      <c r="BH26" s="311">
        <v>2683.08</v>
      </c>
      <c r="BI26" s="312"/>
      <c r="BJ26" s="314"/>
      <c r="BK26" s="311"/>
      <c r="BL26" s="312"/>
      <c r="BM26" s="313"/>
      <c r="BN26" s="311">
        <f t="shared" si="45"/>
        <v>8090.99</v>
      </c>
      <c r="BO26" s="312">
        <f t="shared" si="45"/>
        <v>0</v>
      </c>
      <c r="BP26" s="313">
        <f t="shared" si="45"/>
        <v>0</v>
      </c>
      <c r="BQ26" s="360">
        <f t="shared" si="46"/>
        <v>23855.510000000002</v>
      </c>
      <c r="BR26" s="361">
        <f t="shared" si="46"/>
        <v>0</v>
      </c>
      <c r="BS26" s="419">
        <f t="shared" si="46"/>
        <v>0</v>
      </c>
      <c r="BT26" s="485"/>
      <c r="BU26" s="356">
        <f>Q26-BQ26</f>
        <v>8144.489999999998</v>
      </c>
      <c r="BV26" s="32"/>
      <c r="BW26" s="403"/>
      <c r="BX26" s="469">
        <v>-2527.8</v>
      </c>
      <c r="BY26" s="489">
        <f>BQ26-BZ26</f>
        <v>5385.510000000002</v>
      </c>
      <c r="BZ26" s="529">
        <f t="shared" si="5"/>
        <v>18470</v>
      </c>
      <c r="CA26" s="133">
        <f t="shared" si="6"/>
        <v>2168.6827272727273</v>
      </c>
      <c r="CB26" s="476">
        <v>0</v>
      </c>
      <c r="CC26" s="206">
        <v>3000</v>
      </c>
    </row>
    <row r="27" spans="1:81" s="1" customFormat="1" ht="21.75" customHeight="1" thickBot="1">
      <c r="A27" s="717"/>
      <c r="B27" s="24" t="s">
        <v>15</v>
      </c>
      <c r="C27" s="83">
        <f>286810+34430+25500+28650-4150-5030</f>
        <v>366210</v>
      </c>
      <c r="D27" s="50"/>
      <c r="E27" s="104">
        <v>376227.37</v>
      </c>
      <c r="F27" s="105">
        <v>0</v>
      </c>
      <c r="G27" s="146">
        <v>0</v>
      </c>
      <c r="H27" s="137"/>
      <c r="I27" s="191">
        <v>-10017.37</v>
      </c>
      <c r="J27" s="389"/>
      <c r="K27" s="133">
        <v>31352.280833333334</v>
      </c>
      <c r="L27" s="182"/>
      <c r="M27" s="195">
        <v>10017.37</v>
      </c>
      <c r="N27" s="291">
        <v>10017.37</v>
      </c>
      <c r="O27" s="233">
        <v>96000</v>
      </c>
      <c r="P27" s="243">
        <f>204830+2890</f>
        <v>207720</v>
      </c>
      <c r="Q27" s="249">
        <f t="shared" si="41"/>
        <v>354500</v>
      </c>
      <c r="R27" s="243">
        <v>96000</v>
      </c>
      <c r="S27" s="243">
        <f>96000-19000</f>
        <v>77000</v>
      </c>
      <c r="T27" s="242">
        <f>12830+39090+39080-5500</f>
        <v>85500</v>
      </c>
      <c r="U27" s="311">
        <v>27650.41</v>
      </c>
      <c r="V27" s="312"/>
      <c r="W27" s="313"/>
      <c r="X27" s="311">
        <v>22648.24</v>
      </c>
      <c r="Y27" s="312"/>
      <c r="Z27" s="313"/>
      <c r="AA27" s="311">
        <v>45108.78</v>
      </c>
      <c r="AB27" s="312"/>
      <c r="AC27" s="313"/>
      <c r="AD27" s="104">
        <f t="shared" si="42"/>
        <v>95407.43</v>
      </c>
      <c r="AE27" s="105">
        <f t="shared" si="42"/>
        <v>0</v>
      </c>
      <c r="AF27" s="449">
        <f t="shared" si="42"/>
        <v>0</v>
      </c>
      <c r="AG27" s="311">
        <v>24668.19</v>
      </c>
      <c r="AH27" s="312"/>
      <c r="AI27" s="313"/>
      <c r="AJ27" s="311">
        <v>24971.4</v>
      </c>
      <c r="AK27" s="312"/>
      <c r="AL27" s="314"/>
      <c r="AM27" s="311">
        <v>17919.26</v>
      </c>
      <c r="AN27" s="312"/>
      <c r="AO27" s="314"/>
      <c r="AP27" s="267">
        <f t="shared" si="43"/>
        <v>67558.84999999999</v>
      </c>
      <c r="AQ27" s="268">
        <f t="shared" si="43"/>
        <v>0</v>
      </c>
      <c r="AR27" s="482">
        <f t="shared" si="43"/>
        <v>0</v>
      </c>
      <c r="AS27" s="311">
        <v>32398.51</v>
      </c>
      <c r="AT27" s="314"/>
      <c r="AU27" s="356"/>
      <c r="AV27" s="311">
        <v>30801.62</v>
      </c>
      <c r="AW27" s="312"/>
      <c r="AX27" s="314"/>
      <c r="AY27" s="311">
        <v>31659.76</v>
      </c>
      <c r="AZ27" s="312"/>
      <c r="BA27" s="314"/>
      <c r="BB27" s="267">
        <f t="shared" si="44"/>
        <v>94859.89</v>
      </c>
      <c r="BC27" s="268">
        <f t="shared" si="44"/>
        <v>0</v>
      </c>
      <c r="BD27" s="462">
        <f t="shared" si="44"/>
        <v>0</v>
      </c>
      <c r="BE27" s="311">
        <v>28252.45</v>
      </c>
      <c r="BF27" s="312"/>
      <c r="BG27" s="314"/>
      <c r="BH27" s="311">
        <v>20483.87</v>
      </c>
      <c r="BI27" s="312"/>
      <c r="BJ27" s="314"/>
      <c r="BK27" s="311"/>
      <c r="BL27" s="312"/>
      <c r="BM27" s="313"/>
      <c r="BN27" s="311">
        <f t="shared" si="45"/>
        <v>48736.32</v>
      </c>
      <c r="BO27" s="312">
        <f t="shared" si="45"/>
        <v>0</v>
      </c>
      <c r="BP27" s="313">
        <f t="shared" si="45"/>
        <v>0</v>
      </c>
      <c r="BQ27" s="360">
        <f t="shared" si="46"/>
        <v>306562.49</v>
      </c>
      <c r="BR27" s="361">
        <f t="shared" si="46"/>
        <v>0</v>
      </c>
      <c r="BS27" s="419">
        <f t="shared" si="46"/>
        <v>0</v>
      </c>
      <c r="BT27" s="485"/>
      <c r="BU27" s="356">
        <f>Q27-BQ27</f>
        <v>47937.51000000001</v>
      </c>
      <c r="BV27" s="32"/>
      <c r="BW27" s="403">
        <v>10017.37</v>
      </c>
      <c r="BX27" s="469">
        <v>-592.570000000007</v>
      </c>
      <c r="BY27" s="489">
        <f>BQ27+BW27-BZ27</f>
        <v>47579.859999999986</v>
      </c>
      <c r="BZ27" s="529">
        <f t="shared" si="5"/>
        <v>269000</v>
      </c>
      <c r="CA27" s="133">
        <f t="shared" si="6"/>
        <v>27869.317272727272</v>
      </c>
      <c r="CB27" s="476">
        <v>0</v>
      </c>
      <c r="CC27" s="210">
        <v>30000</v>
      </c>
    </row>
    <row r="28" spans="1:81" s="1" customFormat="1" ht="19.5" customHeight="1" thickBot="1">
      <c r="A28" s="723" t="s">
        <v>16</v>
      </c>
      <c r="B28" s="724"/>
      <c r="C28" s="84">
        <f>SUM(C22:C27)</f>
        <v>2709490</v>
      </c>
      <c r="D28" s="4">
        <f>SUM(D22:D27)</f>
        <v>238686.46</v>
      </c>
      <c r="E28" s="72">
        <v>2872812.7</v>
      </c>
      <c r="F28" s="72">
        <v>1050220.4</v>
      </c>
      <c r="G28" s="150">
        <v>1193446.16</v>
      </c>
      <c r="H28" s="64">
        <v>1669.6000000000931</v>
      </c>
      <c r="I28" s="8">
        <v>-21780.430000000113</v>
      </c>
      <c r="J28" s="392"/>
      <c r="K28" s="133">
        <v>239401.05833333332</v>
      </c>
      <c r="L28" s="180"/>
      <c r="M28" s="198">
        <v>20110.83</v>
      </c>
      <c r="N28" s="292">
        <f>N24+N27</f>
        <v>24042.75</v>
      </c>
      <c r="O28" s="231">
        <f aca="true" t="shared" si="47" ref="O28:AT28">O22+O23+O24+O25+O26+O27</f>
        <v>1028940</v>
      </c>
      <c r="P28" s="231">
        <f t="shared" si="47"/>
        <v>2189430</v>
      </c>
      <c r="Q28" s="378">
        <f t="shared" si="47"/>
        <v>4130290</v>
      </c>
      <c r="R28" s="348">
        <f t="shared" si="47"/>
        <v>987890</v>
      </c>
      <c r="S28" s="348">
        <f t="shared" si="47"/>
        <v>965200</v>
      </c>
      <c r="T28" s="348">
        <f t="shared" si="47"/>
        <v>1148260</v>
      </c>
      <c r="U28" s="365">
        <f t="shared" si="47"/>
        <v>320686.17999999993</v>
      </c>
      <c r="V28" s="365">
        <f t="shared" si="47"/>
        <v>0</v>
      </c>
      <c r="W28" s="365">
        <f t="shared" si="47"/>
        <v>190939.69</v>
      </c>
      <c r="X28" s="365">
        <f t="shared" si="47"/>
        <v>314457.55</v>
      </c>
      <c r="Y28" s="365">
        <f t="shared" si="47"/>
        <v>274489.42</v>
      </c>
      <c r="Z28" s="365">
        <f t="shared" si="47"/>
        <v>9.47</v>
      </c>
      <c r="AA28" s="365">
        <f t="shared" si="47"/>
        <v>358276.12</v>
      </c>
      <c r="AB28" s="365">
        <f t="shared" si="47"/>
        <v>0</v>
      </c>
      <c r="AC28" s="423">
        <f t="shared" si="47"/>
        <v>0</v>
      </c>
      <c r="AD28" s="421">
        <f t="shared" si="47"/>
        <v>993419.8499999999</v>
      </c>
      <c r="AE28" s="421">
        <f t="shared" si="47"/>
        <v>274489.42</v>
      </c>
      <c r="AF28" s="452">
        <f t="shared" si="47"/>
        <v>190949.16</v>
      </c>
      <c r="AG28" s="423">
        <f t="shared" si="47"/>
        <v>317478.43000000005</v>
      </c>
      <c r="AH28" s="423">
        <f t="shared" si="47"/>
        <v>59671.61</v>
      </c>
      <c r="AI28" s="423">
        <f t="shared" si="47"/>
        <v>274477.68</v>
      </c>
      <c r="AJ28" s="423">
        <f t="shared" si="47"/>
        <v>342911.9</v>
      </c>
      <c r="AK28" s="423">
        <f t="shared" si="47"/>
        <v>143211.87</v>
      </c>
      <c r="AL28" s="423">
        <f t="shared" si="47"/>
        <v>11.74</v>
      </c>
      <c r="AM28" s="423">
        <f t="shared" si="47"/>
        <v>317477.28</v>
      </c>
      <c r="AN28" s="423">
        <f t="shared" si="47"/>
        <v>95474.58</v>
      </c>
      <c r="AO28" s="365">
        <f t="shared" si="47"/>
        <v>59671.61</v>
      </c>
      <c r="AP28" s="452">
        <f t="shared" si="47"/>
        <v>977867.6100000001</v>
      </c>
      <c r="AQ28" s="452">
        <f t="shared" si="47"/>
        <v>298358.06</v>
      </c>
      <c r="AR28" s="421">
        <f t="shared" si="47"/>
        <v>334161.02999999997</v>
      </c>
      <c r="AS28" s="423">
        <f t="shared" si="47"/>
        <v>349497.91000000003</v>
      </c>
      <c r="AT28" s="365">
        <f t="shared" si="47"/>
        <v>143211.87</v>
      </c>
      <c r="AU28" s="479">
        <f aca="true" t="shared" si="48" ref="AU28:BV28">AU22+AU23+AU24+AU25+AU26+AU27</f>
        <v>143211.87</v>
      </c>
      <c r="AV28" s="423">
        <f t="shared" si="48"/>
        <v>325714.53</v>
      </c>
      <c r="AW28" s="423">
        <f t="shared" si="48"/>
        <v>95474.58</v>
      </c>
      <c r="AX28" s="365">
        <f t="shared" si="48"/>
        <v>95473.7</v>
      </c>
      <c r="AY28" s="423">
        <f t="shared" si="48"/>
        <v>343993.14</v>
      </c>
      <c r="AZ28" s="423">
        <f t="shared" si="48"/>
        <v>47737.29</v>
      </c>
      <c r="BA28" s="365">
        <f t="shared" si="48"/>
        <v>143205.31</v>
      </c>
      <c r="BB28" s="365">
        <f t="shared" si="48"/>
        <v>1019205.5800000001</v>
      </c>
      <c r="BC28" s="365">
        <f t="shared" si="48"/>
        <v>286423.74</v>
      </c>
      <c r="BD28" s="365">
        <f t="shared" si="48"/>
        <v>381890.88</v>
      </c>
      <c r="BE28" s="365">
        <f t="shared" si="48"/>
        <v>348076.69999999995</v>
      </c>
      <c r="BF28" s="365">
        <f t="shared" si="48"/>
        <v>95474.58</v>
      </c>
      <c r="BG28" s="365">
        <f t="shared" si="48"/>
        <v>95470.05</v>
      </c>
      <c r="BH28" s="365">
        <f t="shared" si="48"/>
        <v>315396.79000000004</v>
      </c>
      <c r="BI28" s="365">
        <f t="shared" si="48"/>
        <v>143211.87</v>
      </c>
      <c r="BJ28" s="365">
        <f t="shared" si="48"/>
        <v>47749.26</v>
      </c>
      <c r="BK28" s="365">
        <f t="shared" si="48"/>
        <v>0</v>
      </c>
      <c r="BL28" s="365">
        <f t="shared" si="48"/>
        <v>0</v>
      </c>
      <c r="BM28" s="423">
        <f t="shared" si="48"/>
        <v>0</v>
      </c>
      <c r="BN28" s="423">
        <f t="shared" si="48"/>
        <v>663473.4899999999</v>
      </c>
      <c r="BO28" s="423">
        <f t="shared" si="48"/>
        <v>238686.45</v>
      </c>
      <c r="BP28" s="423">
        <f t="shared" si="48"/>
        <v>143219.31</v>
      </c>
      <c r="BQ28" s="423">
        <f t="shared" si="48"/>
        <v>3653966.5300000003</v>
      </c>
      <c r="BR28" s="423">
        <f t="shared" si="48"/>
        <v>1097957.67</v>
      </c>
      <c r="BS28" s="365">
        <f t="shared" si="48"/>
        <v>1050220.38</v>
      </c>
      <c r="BT28" s="411">
        <f t="shared" si="48"/>
        <v>202902.33000000007</v>
      </c>
      <c r="BU28" s="365">
        <f t="shared" si="48"/>
        <v>285355.4599999997</v>
      </c>
      <c r="BV28" s="365">
        <f t="shared" si="48"/>
        <v>83540.26000000001</v>
      </c>
      <c r="BW28" s="404">
        <f>BW24+BW27</f>
        <v>24042.75</v>
      </c>
      <c r="BX28" s="470">
        <v>-47454.47</v>
      </c>
      <c r="BY28" s="470">
        <f>BY22+BY23+BY24+BY25+BY26+BY27</f>
        <v>684044.9600000003</v>
      </c>
      <c r="BZ28" s="529">
        <f t="shared" si="5"/>
        <v>2982030</v>
      </c>
      <c r="CA28" s="133">
        <f t="shared" si="6"/>
        <v>332178.77545454545</v>
      </c>
      <c r="CB28" s="476"/>
      <c r="CC28" s="208">
        <f>CC22+CC23+CC24+CC25+CC26+CC27</f>
        <v>344000</v>
      </c>
    </row>
    <row r="29" spans="1:81" s="1" customFormat="1" ht="17.25" customHeight="1">
      <c r="A29" s="716" t="s">
        <v>17</v>
      </c>
      <c r="B29" s="7" t="s">
        <v>24</v>
      </c>
      <c r="C29" s="81">
        <v>0</v>
      </c>
      <c r="D29" s="51"/>
      <c r="E29" s="104">
        <v>0</v>
      </c>
      <c r="F29" s="105">
        <v>0</v>
      </c>
      <c r="G29" s="146">
        <v>8403.31</v>
      </c>
      <c r="H29" s="137"/>
      <c r="I29" s="98">
        <v>0</v>
      </c>
      <c r="J29" s="389"/>
      <c r="K29" s="133">
        <v>0</v>
      </c>
      <c r="L29" s="176"/>
      <c r="M29" s="171"/>
      <c r="N29" s="291"/>
      <c r="O29" s="232"/>
      <c r="P29" s="242"/>
      <c r="Q29" s="249">
        <f>O29+P29</f>
        <v>0</v>
      </c>
      <c r="R29" s="242"/>
      <c r="S29" s="242"/>
      <c r="T29" s="242"/>
      <c r="U29" s="311"/>
      <c r="V29" s="312"/>
      <c r="W29" s="313"/>
      <c r="X29" s="311"/>
      <c r="Y29" s="312"/>
      <c r="Z29" s="313"/>
      <c r="AA29" s="311"/>
      <c r="AB29" s="312"/>
      <c r="AC29" s="313"/>
      <c r="AD29" s="104">
        <f aca="true" t="shared" si="49" ref="AD29:AF31">U29+X29+AA29</f>
        <v>0</v>
      </c>
      <c r="AE29" s="105">
        <f t="shared" si="49"/>
        <v>0</v>
      </c>
      <c r="AF29" s="449">
        <f t="shared" si="49"/>
        <v>0</v>
      </c>
      <c r="AG29" s="311"/>
      <c r="AH29" s="312"/>
      <c r="AI29" s="313"/>
      <c r="AJ29" s="311"/>
      <c r="AK29" s="312"/>
      <c r="AL29" s="314"/>
      <c r="AM29" s="311"/>
      <c r="AN29" s="312"/>
      <c r="AO29" s="314"/>
      <c r="AP29" s="267">
        <f aca="true" t="shared" si="50" ref="AP29:AR31">AG29+AJ29+AM29</f>
        <v>0</v>
      </c>
      <c r="AQ29" s="268">
        <f t="shared" si="50"/>
        <v>0</v>
      </c>
      <c r="AR29" s="482">
        <f t="shared" si="50"/>
        <v>0</v>
      </c>
      <c r="AS29" s="311"/>
      <c r="AT29" s="314"/>
      <c r="AU29" s="356"/>
      <c r="AV29" s="311"/>
      <c r="AW29" s="312"/>
      <c r="AX29" s="314"/>
      <c r="AY29" s="311"/>
      <c r="AZ29" s="312"/>
      <c r="BA29" s="314"/>
      <c r="BB29" s="267">
        <f aca="true" t="shared" si="51" ref="BB29:BD31">AS29+AV29+AY29</f>
        <v>0</v>
      </c>
      <c r="BC29" s="268">
        <f t="shared" si="51"/>
        <v>0</v>
      </c>
      <c r="BD29" s="462">
        <f t="shared" si="51"/>
        <v>0</v>
      </c>
      <c r="BE29" s="311"/>
      <c r="BF29" s="312"/>
      <c r="BG29" s="314"/>
      <c r="BH29" s="311"/>
      <c r="BI29" s="312"/>
      <c r="BJ29" s="314"/>
      <c r="BK29" s="311"/>
      <c r="BL29" s="312"/>
      <c r="BM29" s="313"/>
      <c r="BN29" s="311">
        <f aca="true" t="shared" si="52" ref="BN29:BP31">BE29+BH29+BK29</f>
        <v>0</v>
      </c>
      <c r="BO29" s="312">
        <f t="shared" si="52"/>
        <v>0</v>
      </c>
      <c r="BP29" s="313">
        <f t="shared" si="52"/>
        <v>0</v>
      </c>
      <c r="BQ29" s="360">
        <f aca="true" t="shared" si="53" ref="BQ29:BS31">AD29+AP29+BB29+BN29</f>
        <v>0</v>
      </c>
      <c r="BR29" s="361">
        <f t="shared" si="53"/>
        <v>0</v>
      </c>
      <c r="BS29" s="419">
        <f t="shared" si="53"/>
        <v>0</v>
      </c>
      <c r="BT29" s="485"/>
      <c r="BU29" s="356"/>
      <c r="BV29" s="32"/>
      <c r="BW29" s="403"/>
      <c r="BX29" s="472"/>
      <c r="BY29" s="490"/>
      <c r="BZ29" s="529">
        <f t="shared" si="5"/>
        <v>0</v>
      </c>
      <c r="CA29" s="133">
        <f t="shared" si="6"/>
        <v>0</v>
      </c>
      <c r="CB29" s="476"/>
      <c r="CC29" s="209"/>
    </row>
    <row r="30" spans="1:81" s="1" customFormat="1" ht="17.25" customHeight="1">
      <c r="A30" s="718"/>
      <c r="B30" s="7" t="s">
        <v>23</v>
      </c>
      <c r="C30" s="81">
        <f>87350+6000</f>
        <v>93350</v>
      </c>
      <c r="D30" s="51">
        <v>10949.92</v>
      </c>
      <c r="E30" s="104">
        <v>86017.53</v>
      </c>
      <c r="F30" s="105">
        <v>93305.1</v>
      </c>
      <c r="G30" s="146">
        <v>73094.1</v>
      </c>
      <c r="H30" s="137">
        <v>44.89999999999418</v>
      </c>
      <c r="I30" s="98"/>
      <c r="J30" s="389">
        <v>18238.76</v>
      </c>
      <c r="K30" s="133">
        <v>7168.1275</v>
      </c>
      <c r="L30" s="176"/>
      <c r="M30" s="32">
        <v>-44.89999999999418</v>
      </c>
      <c r="N30" s="291"/>
      <c r="O30" s="229">
        <v>22250</v>
      </c>
      <c r="P30" s="240">
        <v>40050</v>
      </c>
      <c r="Q30" s="247">
        <f aca="true" t="shared" si="54" ref="Q30:Q37">O30+R30+S30+T30</f>
        <v>77800</v>
      </c>
      <c r="R30" s="240">
        <v>22750</v>
      </c>
      <c r="S30" s="240">
        <f>17300+3600</f>
        <v>20900</v>
      </c>
      <c r="T30" s="240">
        <v>11900</v>
      </c>
      <c r="U30" s="311">
        <v>10247.29</v>
      </c>
      <c r="V30" s="312"/>
      <c r="W30" s="313">
        <v>8163.67</v>
      </c>
      <c r="X30" s="311">
        <v>9251.99</v>
      </c>
      <c r="Y30" s="312">
        <v>6227.71</v>
      </c>
      <c r="Z30" s="313">
        <v>12026.73</v>
      </c>
      <c r="AA30" s="311">
        <v>4589.23</v>
      </c>
      <c r="AB30" s="312">
        <v>1085.53</v>
      </c>
      <c r="AC30" s="313"/>
      <c r="AD30" s="104">
        <f t="shared" si="49"/>
        <v>24088.51</v>
      </c>
      <c r="AE30" s="105">
        <f t="shared" si="49"/>
        <v>7313.24</v>
      </c>
      <c r="AF30" s="449">
        <f t="shared" si="49"/>
        <v>20190.4</v>
      </c>
      <c r="AG30" s="311">
        <v>7757.49</v>
      </c>
      <c r="AH30" s="312">
        <v>7741.79</v>
      </c>
      <c r="AI30" s="313">
        <v>6227.71</v>
      </c>
      <c r="AJ30" s="311">
        <v>13522.63</v>
      </c>
      <c r="AK30" s="312">
        <v>18550.14</v>
      </c>
      <c r="AL30" s="314">
        <v>1085.53</v>
      </c>
      <c r="AM30" s="311">
        <v>5758.43</v>
      </c>
      <c r="AN30" s="312">
        <v>10250.29</v>
      </c>
      <c r="AO30" s="314">
        <v>7741.79</v>
      </c>
      <c r="AP30" s="267">
        <f t="shared" si="50"/>
        <v>27038.55</v>
      </c>
      <c r="AQ30" s="268">
        <f t="shared" si="50"/>
        <v>36542.22</v>
      </c>
      <c r="AR30" s="482">
        <f t="shared" si="50"/>
        <v>15055.029999999999</v>
      </c>
      <c r="AS30" s="311">
        <v>6277.01</v>
      </c>
      <c r="AT30" s="314">
        <v>8827.05</v>
      </c>
      <c r="AU30" s="356">
        <v>18550.14</v>
      </c>
      <c r="AV30" s="311">
        <v>9269.77</v>
      </c>
      <c r="AW30" s="312"/>
      <c r="AX30" s="314">
        <v>10250.29</v>
      </c>
      <c r="AY30" s="311">
        <v>3861.42</v>
      </c>
      <c r="AZ30" s="312"/>
      <c r="BA30" s="314">
        <v>8827.05</v>
      </c>
      <c r="BB30" s="267">
        <f t="shared" si="51"/>
        <v>19408.2</v>
      </c>
      <c r="BC30" s="268">
        <f t="shared" si="51"/>
        <v>8827.05</v>
      </c>
      <c r="BD30" s="462">
        <f t="shared" si="51"/>
        <v>37627.479999999996</v>
      </c>
      <c r="BE30" s="311">
        <v>8109.4</v>
      </c>
      <c r="BF30" s="312">
        <v>21270.59</v>
      </c>
      <c r="BG30" s="314"/>
      <c r="BH30" s="311">
        <v>7778.46</v>
      </c>
      <c r="BI30" s="312">
        <v>3841.96</v>
      </c>
      <c r="BJ30" s="314"/>
      <c r="BK30" s="311"/>
      <c r="BL30" s="312"/>
      <c r="BM30" s="313"/>
      <c r="BN30" s="311">
        <f t="shared" si="52"/>
        <v>15887.86</v>
      </c>
      <c r="BO30" s="312">
        <f t="shared" si="52"/>
        <v>25112.55</v>
      </c>
      <c r="BP30" s="313">
        <f t="shared" si="52"/>
        <v>0</v>
      </c>
      <c r="BQ30" s="360">
        <f t="shared" si="53"/>
        <v>86423.12</v>
      </c>
      <c r="BR30" s="361">
        <f t="shared" si="53"/>
        <v>77795.06</v>
      </c>
      <c r="BS30" s="419">
        <f t="shared" si="53"/>
        <v>72872.91</v>
      </c>
      <c r="BT30" s="485">
        <f>Q30-BR30</f>
        <v>4.940000000002328</v>
      </c>
      <c r="BU30" s="356"/>
      <c r="BV30" s="32">
        <f>J30+BR30-BQ30</f>
        <v>9610.699999999997</v>
      </c>
      <c r="BW30" s="403"/>
      <c r="BX30" s="469">
        <v>-14936.76</v>
      </c>
      <c r="BY30" s="489">
        <f>BR30-BZ30</f>
        <v>11895.059999999998</v>
      </c>
      <c r="BZ30" s="529">
        <f t="shared" si="5"/>
        <v>65900</v>
      </c>
      <c r="CA30" s="133">
        <f t="shared" si="6"/>
        <v>7856.647272727272</v>
      </c>
      <c r="CB30" s="476">
        <v>8000</v>
      </c>
      <c r="CC30" s="206">
        <v>7000</v>
      </c>
    </row>
    <row r="31" spans="1:81" s="1" customFormat="1" ht="17.25" customHeight="1" thickBot="1">
      <c r="A31" s="718"/>
      <c r="B31" s="22" t="s">
        <v>25</v>
      </c>
      <c r="C31" s="83">
        <v>470</v>
      </c>
      <c r="D31" s="52">
        <v>171.97</v>
      </c>
      <c r="E31" s="104">
        <v>484.59</v>
      </c>
      <c r="F31" s="105">
        <v>402</v>
      </c>
      <c r="G31" s="146">
        <v>285.71</v>
      </c>
      <c r="H31" s="137">
        <v>68</v>
      </c>
      <c r="I31" s="98"/>
      <c r="J31" s="389">
        <v>89.37</v>
      </c>
      <c r="K31" s="133">
        <v>40.3825</v>
      </c>
      <c r="L31" s="177"/>
      <c r="M31" s="38">
        <v>-68</v>
      </c>
      <c r="N31" s="291"/>
      <c r="O31" s="233">
        <v>120</v>
      </c>
      <c r="P31" s="240">
        <v>220</v>
      </c>
      <c r="Q31" s="247">
        <f t="shared" si="54"/>
        <v>340</v>
      </c>
      <c r="R31" s="240">
        <v>120</v>
      </c>
      <c r="S31" s="240">
        <v>100</v>
      </c>
      <c r="T31" s="240">
        <v>0</v>
      </c>
      <c r="U31" s="311">
        <v>62.66</v>
      </c>
      <c r="V31" s="312"/>
      <c r="W31" s="313"/>
      <c r="X31" s="311">
        <v>44.92</v>
      </c>
      <c r="Y31" s="312">
        <v>39.48</v>
      </c>
      <c r="Z31" s="313"/>
      <c r="AA31" s="311">
        <v>18.03</v>
      </c>
      <c r="AB31" s="312"/>
      <c r="AC31" s="313"/>
      <c r="AD31" s="104">
        <f t="shared" si="49"/>
        <v>125.61</v>
      </c>
      <c r="AE31" s="105">
        <f t="shared" si="49"/>
        <v>39.48</v>
      </c>
      <c r="AF31" s="449">
        <f t="shared" si="49"/>
        <v>0</v>
      </c>
      <c r="AG31" s="311">
        <v>1.5</v>
      </c>
      <c r="AH31" s="312"/>
      <c r="AI31" s="313">
        <v>39.48</v>
      </c>
      <c r="AJ31" s="311"/>
      <c r="AK31" s="312"/>
      <c r="AL31" s="314"/>
      <c r="AM31" s="311"/>
      <c r="AN31" s="312"/>
      <c r="AO31" s="314"/>
      <c r="AP31" s="458">
        <f t="shared" si="50"/>
        <v>1.5</v>
      </c>
      <c r="AQ31" s="459">
        <f t="shared" si="50"/>
        <v>0</v>
      </c>
      <c r="AR31" s="483">
        <f t="shared" si="50"/>
        <v>39.48</v>
      </c>
      <c r="AS31" s="311">
        <v>68.91</v>
      </c>
      <c r="AT31" s="314">
        <v>251.69</v>
      </c>
      <c r="AU31" s="356"/>
      <c r="AV31" s="311">
        <v>37.1</v>
      </c>
      <c r="AW31" s="312"/>
      <c r="AX31" s="314"/>
      <c r="AY31" s="311">
        <v>46.36</v>
      </c>
      <c r="AZ31" s="312"/>
      <c r="BA31" s="314">
        <v>251.69</v>
      </c>
      <c r="BB31" s="458">
        <f t="shared" si="51"/>
        <v>152.37</v>
      </c>
      <c r="BC31" s="459">
        <f t="shared" si="51"/>
        <v>251.69</v>
      </c>
      <c r="BD31" s="463">
        <f t="shared" si="51"/>
        <v>251.69</v>
      </c>
      <c r="BE31" s="311">
        <v>57.05</v>
      </c>
      <c r="BF31" s="312">
        <v>33.79</v>
      </c>
      <c r="BG31" s="314"/>
      <c r="BH31" s="311">
        <v>26.71</v>
      </c>
      <c r="BI31" s="312"/>
      <c r="BJ31" s="314"/>
      <c r="BK31" s="311"/>
      <c r="BL31" s="312"/>
      <c r="BM31" s="313"/>
      <c r="BN31" s="311">
        <f t="shared" si="52"/>
        <v>83.75999999999999</v>
      </c>
      <c r="BO31" s="312">
        <f t="shared" si="52"/>
        <v>33.79</v>
      </c>
      <c r="BP31" s="313">
        <f t="shared" si="52"/>
        <v>0</v>
      </c>
      <c r="BQ31" s="360">
        <f t="shared" si="53"/>
        <v>363.24</v>
      </c>
      <c r="BR31" s="361">
        <f t="shared" si="53"/>
        <v>324.96000000000004</v>
      </c>
      <c r="BS31" s="419">
        <f t="shared" si="53"/>
        <v>291.17</v>
      </c>
      <c r="BT31" s="485">
        <f>Q31-BR31</f>
        <v>15.039999999999964</v>
      </c>
      <c r="BU31" s="356"/>
      <c r="BV31" s="32">
        <f>J31+BR31-BQ31</f>
        <v>51.09000000000003</v>
      </c>
      <c r="BW31" s="403"/>
      <c r="BX31" s="469">
        <v>-80.52</v>
      </c>
      <c r="BY31" s="489">
        <f>BR31-BZ31</f>
        <v>-15.039999999999964</v>
      </c>
      <c r="BZ31" s="529">
        <f t="shared" si="5"/>
        <v>340</v>
      </c>
      <c r="CA31" s="133">
        <f t="shared" si="6"/>
        <v>33.02181818181818</v>
      </c>
      <c r="CB31" s="476">
        <v>50</v>
      </c>
      <c r="CC31" s="206">
        <v>1000</v>
      </c>
    </row>
    <row r="32" spans="1:81" s="1" customFormat="1" ht="19.5" customHeight="1" thickBot="1">
      <c r="A32" s="719" t="s">
        <v>18</v>
      </c>
      <c r="B32" s="720"/>
      <c r="C32" s="84">
        <f>C29+C30+C31</f>
        <v>93820</v>
      </c>
      <c r="D32" s="56">
        <f>D30+D31</f>
        <v>11121.89</v>
      </c>
      <c r="E32" s="70">
        <v>86502.12</v>
      </c>
      <c r="F32" s="70">
        <v>93707.1</v>
      </c>
      <c r="G32" s="148">
        <v>81783.12</v>
      </c>
      <c r="H32" s="62">
        <v>112.89999999999418</v>
      </c>
      <c r="I32" s="65">
        <v>0</v>
      </c>
      <c r="J32" s="390">
        <f>J30+J31</f>
        <v>18328.129999999997</v>
      </c>
      <c r="K32" s="133">
        <v>7208.51</v>
      </c>
      <c r="L32" s="183"/>
      <c r="M32" s="197">
        <v>-112.89999999999418</v>
      </c>
      <c r="N32" s="291"/>
      <c r="O32" s="231">
        <f>O30+O31</f>
        <v>22370</v>
      </c>
      <c r="P32" s="244">
        <f>P30+P31</f>
        <v>40270</v>
      </c>
      <c r="Q32" s="379">
        <f t="shared" si="54"/>
        <v>78140</v>
      </c>
      <c r="R32" s="349">
        <f aca="true" t="shared" si="55" ref="R32:AW32">R30+R31</f>
        <v>22870</v>
      </c>
      <c r="S32" s="349">
        <f t="shared" si="55"/>
        <v>21000</v>
      </c>
      <c r="T32" s="349">
        <f t="shared" si="55"/>
        <v>11900</v>
      </c>
      <c r="U32" s="366">
        <f t="shared" si="55"/>
        <v>10309.95</v>
      </c>
      <c r="V32" s="366">
        <f t="shared" si="55"/>
        <v>0</v>
      </c>
      <c r="W32" s="366">
        <f t="shared" si="55"/>
        <v>8163.67</v>
      </c>
      <c r="X32" s="366">
        <f t="shared" si="55"/>
        <v>9296.91</v>
      </c>
      <c r="Y32" s="366">
        <f t="shared" si="55"/>
        <v>6267.19</v>
      </c>
      <c r="Z32" s="366">
        <f t="shared" si="55"/>
        <v>12026.73</v>
      </c>
      <c r="AA32" s="366">
        <f t="shared" si="55"/>
        <v>4607.259999999999</v>
      </c>
      <c r="AB32" s="366">
        <f t="shared" si="55"/>
        <v>1085.53</v>
      </c>
      <c r="AC32" s="424">
        <f t="shared" si="55"/>
        <v>0</v>
      </c>
      <c r="AD32" s="453">
        <f t="shared" si="55"/>
        <v>24214.12</v>
      </c>
      <c r="AE32" s="453">
        <f t="shared" si="55"/>
        <v>7352.719999999999</v>
      </c>
      <c r="AF32" s="454">
        <f t="shared" si="55"/>
        <v>20190.4</v>
      </c>
      <c r="AG32" s="424">
        <f t="shared" si="55"/>
        <v>7758.99</v>
      </c>
      <c r="AH32" s="424">
        <f t="shared" si="55"/>
        <v>7741.79</v>
      </c>
      <c r="AI32" s="424">
        <f t="shared" si="55"/>
        <v>6267.19</v>
      </c>
      <c r="AJ32" s="424">
        <f t="shared" si="55"/>
        <v>13522.63</v>
      </c>
      <c r="AK32" s="424">
        <f t="shared" si="55"/>
        <v>18550.14</v>
      </c>
      <c r="AL32" s="424">
        <f t="shared" si="55"/>
        <v>1085.53</v>
      </c>
      <c r="AM32" s="424">
        <f t="shared" si="55"/>
        <v>5758.43</v>
      </c>
      <c r="AN32" s="424">
        <f t="shared" si="55"/>
        <v>10250.29</v>
      </c>
      <c r="AO32" s="366">
        <f t="shared" si="55"/>
        <v>7741.79</v>
      </c>
      <c r="AP32" s="452">
        <f t="shared" si="55"/>
        <v>27040.05</v>
      </c>
      <c r="AQ32" s="452">
        <f t="shared" si="55"/>
        <v>36542.22</v>
      </c>
      <c r="AR32" s="421">
        <f t="shared" si="55"/>
        <v>15094.509999999998</v>
      </c>
      <c r="AS32" s="424">
        <f t="shared" si="55"/>
        <v>6345.92</v>
      </c>
      <c r="AT32" s="366">
        <f t="shared" si="55"/>
        <v>9078.74</v>
      </c>
      <c r="AU32" s="480">
        <f t="shared" si="55"/>
        <v>18550.14</v>
      </c>
      <c r="AV32" s="424">
        <f t="shared" si="55"/>
        <v>9306.87</v>
      </c>
      <c r="AW32" s="424">
        <f t="shared" si="55"/>
        <v>0</v>
      </c>
      <c r="AX32" s="366">
        <f aca="true" t="shared" si="56" ref="AX32:BV32">AX30+AX31</f>
        <v>10250.29</v>
      </c>
      <c r="AY32" s="424">
        <f t="shared" si="56"/>
        <v>3907.78</v>
      </c>
      <c r="AZ32" s="424">
        <f t="shared" si="56"/>
        <v>0</v>
      </c>
      <c r="BA32" s="366">
        <f t="shared" si="56"/>
        <v>9078.74</v>
      </c>
      <c r="BB32" s="366">
        <f t="shared" si="56"/>
        <v>19560.57</v>
      </c>
      <c r="BC32" s="366">
        <f t="shared" si="56"/>
        <v>9078.74</v>
      </c>
      <c r="BD32" s="366">
        <f t="shared" si="56"/>
        <v>37879.17</v>
      </c>
      <c r="BE32" s="366">
        <f t="shared" si="56"/>
        <v>8166.45</v>
      </c>
      <c r="BF32" s="366">
        <f t="shared" si="56"/>
        <v>21304.38</v>
      </c>
      <c r="BG32" s="366">
        <f t="shared" si="56"/>
        <v>0</v>
      </c>
      <c r="BH32" s="366">
        <f t="shared" si="56"/>
        <v>7805.17</v>
      </c>
      <c r="BI32" s="366">
        <f t="shared" si="56"/>
        <v>3841.96</v>
      </c>
      <c r="BJ32" s="366">
        <f t="shared" si="56"/>
        <v>0</v>
      </c>
      <c r="BK32" s="366">
        <f t="shared" si="56"/>
        <v>0</v>
      </c>
      <c r="BL32" s="366">
        <f t="shared" si="56"/>
        <v>0</v>
      </c>
      <c r="BM32" s="424">
        <f t="shared" si="56"/>
        <v>0</v>
      </c>
      <c r="BN32" s="424">
        <f t="shared" si="56"/>
        <v>15971.62</v>
      </c>
      <c r="BO32" s="424">
        <f t="shared" si="56"/>
        <v>25146.34</v>
      </c>
      <c r="BP32" s="424">
        <f t="shared" si="56"/>
        <v>0</v>
      </c>
      <c r="BQ32" s="424">
        <f t="shared" si="56"/>
        <v>86786.36</v>
      </c>
      <c r="BR32" s="424">
        <f t="shared" si="56"/>
        <v>78120.02</v>
      </c>
      <c r="BS32" s="366">
        <f t="shared" si="56"/>
        <v>73164.08</v>
      </c>
      <c r="BT32" s="416">
        <f t="shared" si="56"/>
        <v>19.980000000002292</v>
      </c>
      <c r="BU32" s="366">
        <f t="shared" si="56"/>
        <v>0</v>
      </c>
      <c r="BV32" s="366">
        <f t="shared" si="56"/>
        <v>9661.789999999997</v>
      </c>
      <c r="BW32" s="366"/>
      <c r="BX32" s="366">
        <f aca="true" t="shared" si="57" ref="BX32:CC32">BX30+BX31</f>
        <v>-15017.28</v>
      </c>
      <c r="BY32" s="366">
        <f t="shared" si="57"/>
        <v>11880.019999999997</v>
      </c>
      <c r="BZ32" s="366">
        <f t="shared" si="57"/>
        <v>66240</v>
      </c>
      <c r="CA32" s="366">
        <f t="shared" si="57"/>
        <v>7889.66909090909</v>
      </c>
      <c r="CB32" s="424">
        <f t="shared" si="57"/>
        <v>8050</v>
      </c>
      <c r="CC32" s="548">
        <f t="shared" si="57"/>
        <v>8000</v>
      </c>
    </row>
    <row r="33" spans="1:81" s="1" customFormat="1" ht="21.75" customHeight="1" thickBot="1">
      <c r="A33" s="719" t="s">
        <v>26</v>
      </c>
      <c r="B33" s="720"/>
      <c r="C33" s="86">
        <f>681270+42080+59980</f>
        <v>783330</v>
      </c>
      <c r="D33" s="57"/>
      <c r="E33" s="104">
        <v>760101.18</v>
      </c>
      <c r="F33" s="105">
        <v>0</v>
      </c>
      <c r="G33" s="146">
        <v>0</v>
      </c>
      <c r="H33" s="137"/>
      <c r="I33" s="98">
        <v>23228.81999999995</v>
      </c>
      <c r="J33" s="389"/>
      <c r="K33" s="133">
        <v>63341.76500000001</v>
      </c>
      <c r="L33" s="184"/>
      <c r="M33" s="197">
        <v>-23228.81999999995</v>
      </c>
      <c r="N33" s="291"/>
      <c r="O33" s="234">
        <v>195970</v>
      </c>
      <c r="P33" s="227">
        <v>382140</v>
      </c>
      <c r="Q33" s="380">
        <f t="shared" si="54"/>
        <v>755320</v>
      </c>
      <c r="R33" s="227">
        <v>188030</v>
      </c>
      <c r="S33" s="227">
        <f>192000+6610</f>
        <v>198610</v>
      </c>
      <c r="T33" s="252">
        <f>2110+68600+102000</f>
        <v>172710</v>
      </c>
      <c r="U33" s="311">
        <v>82397.49</v>
      </c>
      <c r="V33" s="312"/>
      <c r="W33" s="313"/>
      <c r="X33" s="311">
        <v>57595.07</v>
      </c>
      <c r="Y33" s="312"/>
      <c r="Z33" s="313"/>
      <c r="AA33" s="311">
        <v>55907.68</v>
      </c>
      <c r="AB33" s="312"/>
      <c r="AC33" s="313"/>
      <c r="AD33" s="104">
        <f aca="true" t="shared" si="58" ref="AD33:AF34">U33+X33+AA33</f>
        <v>195900.24</v>
      </c>
      <c r="AE33" s="105">
        <f t="shared" si="58"/>
        <v>0</v>
      </c>
      <c r="AF33" s="449">
        <f t="shared" si="58"/>
        <v>0</v>
      </c>
      <c r="AG33" s="311">
        <v>52203.81</v>
      </c>
      <c r="AH33" s="312"/>
      <c r="AI33" s="313"/>
      <c r="AJ33" s="311">
        <v>78101.97</v>
      </c>
      <c r="AK33" s="312"/>
      <c r="AL33" s="314"/>
      <c r="AM33" s="311">
        <v>70671.03</v>
      </c>
      <c r="AN33" s="312"/>
      <c r="AO33" s="314"/>
      <c r="AP33" s="267">
        <f aca="true" t="shared" si="59" ref="AP33:AR34">AG33+AJ33+AM33</f>
        <v>200976.81</v>
      </c>
      <c r="AQ33" s="268">
        <f t="shared" si="59"/>
        <v>0</v>
      </c>
      <c r="AR33" s="482">
        <f t="shared" si="59"/>
        <v>0</v>
      </c>
      <c r="AS33" s="311">
        <v>50651.98</v>
      </c>
      <c r="AT33" s="314"/>
      <c r="AU33" s="356"/>
      <c r="AV33" s="311">
        <v>77010.45</v>
      </c>
      <c r="AW33" s="312"/>
      <c r="AX33" s="314"/>
      <c r="AY33" s="311">
        <v>43799.57</v>
      </c>
      <c r="AZ33" s="312"/>
      <c r="BA33" s="314"/>
      <c r="BB33" s="267">
        <f aca="true" t="shared" si="60" ref="BB33:BD37">AS33+AV33+AY33</f>
        <v>171462</v>
      </c>
      <c r="BC33" s="268">
        <f t="shared" si="60"/>
        <v>0</v>
      </c>
      <c r="BD33" s="462">
        <f t="shared" si="60"/>
        <v>0</v>
      </c>
      <c r="BE33" s="311">
        <v>60013.1</v>
      </c>
      <c r="BF33" s="312"/>
      <c r="BG33" s="314"/>
      <c r="BH33" s="311">
        <v>66378.82</v>
      </c>
      <c r="BI33" s="312"/>
      <c r="BJ33" s="314"/>
      <c r="BK33" s="311"/>
      <c r="BL33" s="312"/>
      <c r="BM33" s="313"/>
      <c r="BN33" s="311">
        <f aca="true" t="shared" si="61" ref="BN33:BP37">BE33+BH33+BK33</f>
        <v>126391.92000000001</v>
      </c>
      <c r="BO33" s="312">
        <f t="shared" si="61"/>
        <v>0</v>
      </c>
      <c r="BP33" s="313">
        <f t="shared" si="61"/>
        <v>0</v>
      </c>
      <c r="BQ33" s="360">
        <f aca="true" t="shared" si="62" ref="BQ33:BS34">AD33+AP33+BB33+BN33</f>
        <v>694730.9700000001</v>
      </c>
      <c r="BR33" s="361">
        <f t="shared" si="62"/>
        <v>0</v>
      </c>
      <c r="BS33" s="419">
        <f t="shared" si="62"/>
        <v>0</v>
      </c>
      <c r="BT33" s="485"/>
      <c r="BU33" s="356">
        <f>Q33-BQ33</f>
        <v>60589.02999999991</v>
      </c>
      <c r="BV33" s="32"/>
      <c r="BW33" s="403"/>
      <c r="BX33" s="469">
        <v>-69.76000000000931</v>
      </c>
      <c r="BY33" s="489">
        <f>BQ33-BZ33</f>
        <v>112120.97000000009</v>
      </c>
      <c r="BZ33" s="529">
        <f t="shared" si="5"/>
        <v>582610</v>
      </c>
      <c r="CA33" s="133">
        <f t="shared" si="6"/>
        <v>63157.360909090916</v>
      </c>
      <c r="CB33" s="542">
        <v>100000</v>
      </c>
      <c r="CC33" s="211">
        <v>63000</v>
      </c>
    </row>
    <row r="34" spans="1:81" s="1" customFormat="1" ht="21" customHeight="1" thickBot="1">
      <c r="A34" s="719" t="s">
        <v>27</v>
      </c>
      <c r="B34" s="720"/>
      <c r="C34" s="86">
        <f>307880+30000</f>
        <v>337880</v>
      </c>
      <c r="D34" s="60">
        <v>67754.4</v>
      </c>
      <c r="E34" s="106">
        <v>266582.39</v>
      </c>
      <c r="F34" s="107">
        <v>337252.54</v>
      </c>
      <c r="G34" s="151">
        <v>384319.95</v>
      </c>
      <c r="H34" s="139">
        <v>627.460000000021</v>
      </c>
      <c r="I34" s="99"/>
      <c r="J34" s="385">
        <v>138424.55</v>
      </c>
      <c r="K34" s="133">
        <v>22215.19916666667</v>
      </c>
      <c r="L34" s="185"/>
      <c r="M34" s="200">
        <v>-627.460000000021</v>
      </c>
      <c r="N34" s="291"/>
      <c r="O34" s="235">
        <f>62120+27880</f>
        <v>90000</v>
      </c>
      <c r="P34" s="245">
        <f>139760-27880</f>
        <v>111880</v>
      </c>
      <c r="Q34" s="381">
        <f t="shared" si="54"/>
        <v>225380</v>
      </c>
      <c r="R34" s="245">
        <v>70000</v>
      </c>
      <c r="S34" s="245">
        <v>21880</v>
      </c>
      <c r="T34" s="245">
        <f>20000+23500</f>
        <v>43500</v>
      </c>
      <c r="U34" s="311">
        <v>17857.47</v>
      </c>
      <c r="V34" s="312"/>
      <c r="W34" s="313"/>
      <c r="X34" s="311">
        <v>16287.87</v>
      </c>
      <c r="Y34" s="312"/>
      <c r="Z34" s="313">
        <v>88916.13</v>
      </c>
      <c r="AA34" s="311">
        <v>28569.99</v>
      </c>
      <c r="AB34" s="312">
        <v>59947.82</v>
      </c>
      <c r="AC34" s="313"/>
      <c r="AD34" s="104">
        <f t="shared" si="58"/>
        <v>62715.33</v>
      </c>
      <c r="AE34" s="105">
        <f t="shared" si="58"/>
        <v>59947.82</v>
      </c>
      <c r="AF34" s="449">
        <f t="shared" si="58"/>
        <v>88916.13</v>
      </c>
      <c r="AG34" s="311">
        <v>28487.15</v>
      </c>
      <c r="AH34" s="312"/>
      <c r="AI34" s="313"/>
      <c r="AJ34" s="311">
        <v>32209.5</v>
      </c>
      <c r="AK34" s="312">
        <v>61932.71</v>
      </c>
      <c r="AL34" s="314">
        <v>59947.82</v>
      </c>
      <c r="AM34" s="311">
        <v>14402.17</v>
      </c>
      <c r="AN34" s="312"/>
      <c r="AO34" s="314"/>
      <c r="AP34" s="267">
        <f t="shared" si="59"/>
        <v>75098.82</v>
      </c>
      <c r="AQ34" s="268">
        <f t="shared" si="59"/>
        <v>61932.71</v>
      </c>
      <c r="AR34" s="482">
        <f t="shared" si="59"/>
        <v>59947.82</v>
      </c>
      <c r="AS34" s="311">
        <v>24419.27</v>
      </c>
      <c r="AT34" s="314"/>
      <c r="AU34" s="356">
        <v>61932.71</v>
      </c>
      <c r="AV34" s="311">
        <v>12371.5</v>
      </c>
      <c r="AW34" s="312"/>
      <c r="AX34" s="314"/>
      <c r="AY34" s="311">
        <v>22966.3</v>
      </c>
      <c r="AZ34" s="312">
        <v>68789.9</v>
      </c>
      <c r="BA34" s="314"/>
      <c r="BB34" s="267">
        <f t="shared" si="60"/>
        <v>59757.07000000001</v>
      </c>
      <c r="BC34" s="268">
        <f t="shared" si="60"/>
        <v>68789.9</v>
      </c>
      <c r="BD34" s="462">
        <f t="shared" si="60"/>
        <v>61932.71</v>
      </c>
      <c r="BE34" s="311">
        <v>29849.65</v>
      </c>
      <c r="BF34" s="312"/>
      <c r="BG34" s="314"/>
      <c r="BH34" s="311">
        <v>26857.6</v>
      </c>
      <c r="BI34" s="312">
        <v>34592.24</v>
      </c>
      <c r="BJ34" s="314">
        <v>59993.34</v>
      </c>
      <c r="BK34" s="311"/>
      <c r="BL34" s="312"/>
      <c r="BM34" s="313"/>
      <c r="BN34" s="311">
        <f t="shared" si="61"/>
        <v>56707.25</v>
      </c>
      <c r="BO34" s="312">
        <f t="shared" si="61"/>
        <v>34592.24</v>
      </c>
      <c r="BP34" s="313">
        <f t="shared" si="61"/>
        <v>59993.34</v>
      </c>
      <c r="BQ34" s="360">
        <f t="shared" si="62"/>
        <v>254278.47000000003</v>
      </c>
      <c r="BR34" s="361">
        <f t="shared" si="62"/>
        <v>225262.66999999998</v>
      </c>
      <c r="BS34" s="419">
        <f t="shared" si="62"/>
        <v>270790</v>
      </c>
      <c r="BT34" s="485">
        <f>Q34-BR34</f>
        <v>117.3300000000163</v>
      </c>
      <c r="BU34" s="356"/>
      <c r="BV34" s="32">
        <f>J34+BR34-BQ34</f>
        <v>109408.74999999994</v>
      </c>
      <c r="BW34" s="403"/>
      <c r="BX34" s="469">
        <v>-30052.18</v>
      </c>
      <c r="BY34" s="471">
        <f>BR34-BZ34</f>
        <v>43382.669999999984</v>
      </c>
      <c r="BZ34" s="529">
        <f t="shared" si="5"/>
        <v>181880</v>
      </c>
      <c r="CA34" s="133">
        <f t="shared" si="6"/>
        <v>23116.22454545455</v>
      </c>
      <c r="CB34" s="542">
        <v>35000</v>
      </c>
      <c r="CC34" s="211">
        <v>19000</v>
      </c>
    </row>
    <row r="35" spans="1:81" s="1" customFormat="1" ht="25.5" customHeight="1" thickBot="1">
      <c r="A35" s="743" t="s">
        <v>46</v>
      </c>
      <c r="B35" s="744"/>
      <c r="C35" s="86">
        <f>116064+59024+276768+4960+48112+71424+93744+28768+73408</f>
        <v>772272</v>
      </c>
      <c r="D35" s="58"/>
      <c r="E35" s="108">
        <v>727136</v>
      </c>
      <c r="F35" s="109">
        <v>0</v>
      </c>
      <c r="G35" s="152">
        <v>372996</v>
      </c>
      <c r="H35" s="140"/>
      <c r="I35" s="100">
        <v>45136</v>
      </c>
      <c r="J35" s="393"/>
      <c r="K35" s="133">
        <v>60594.666666666664</v>
      </c>
      <c r="L35" s="186"/>
      <c r="M35" s="61">
        <v>-45136</v>
      </c>
      <c r="N35" s="291"/>
      <c r="O35" s="236">
        <f>116064+110608</f>
        <v>226672</v>
      </c>
      <c r="P35" s="228">
        <v>214272</v>
      </c>
      <c r="Q35" s="213">
        <f t="shared" si="54"/>
        <v>785168</v>
      </c>
      <c r="R35" s="228">
        <v>214272</v>
      </c>
      <c r="S35" s="228">
        <f>17856+38688</f>
        <v>56544</v>
      </c>
      <c r="T35" s="254">
        <f>74400+23808+14880+32736+141856</f>
        <v>287680</v>
      </c>
      <c r="U35" s="311">
        <v>40176</v>
      </c>
      <c r="V35" s="312"/>
      <c r="W35" s="313">
        <f>38688+28772</f>
        <v>67460</v>
      </c>
      <c r="X35" s="311">
        <v>35216</v>
      </c>
      <c r="Y35" s="312"/>
      <c r="Z35" s="313">
        <v>112092</v>
      </c>
      <c r="AA35" s="311">
        <v>39680</v>
      </c>
      <c r="AB35" s="312"/>
      <c r="AC35" s="313">
        <v>35216</v>
      </c>
      <c r="AD35" s="104">
        <f>U35+X35+AA35+109120</f>
        <v>224192</v>
      </c>
      <c r="AE35" s="105">
        <f aca="true" t="shared" si="63" ref="AE35:AF37">V35+Y35+AB35</f>
        <v>0</v>
      </c>
      <c r="AF35" s="449">
        <f t="shared" si="63"/>
        <v>214768</v>
      </c>
      <c r="AG35" s="311">
        <v>26784</v>
      </c>
      <c r="AH35" s="312"/>
      <c r="AI35" s="313">
        <v>39680</v>
      </c>
      <c r="AJ35" s="311">
        <v>36208</v>
      </c>
      <c r="AK35" s="312"/>
      <c r="AL35" s="314">
        <v>26784</v>
      </c>
      <c r="AM35" s="311">
        <v>35712</v>
      </c>
      <c r="AN35" s="312"/>
      <c r="AO35" s="314">
        <v>36208</v>
      </c>
      <c r="AP35" s="267">
        <f>AG35+AJ35+AM35+66960</f>
        <v>165664</v>
      </c>
      <c r="AQ35" s="268">
        <f aca="true" t="shared" si="64" ref="AQ35:AR37">AH35+AK35+AN35</f>
        <v>0</v>
      </c>
      <c r="AR35" s="482">
        <f t="shared" si="64"/>
        <v>102672</v>
      </c>
      <c r="AS35" s="311">
        <v>32736</v>
      </c>
      <c r="AT35" s="314"/>
      <c r="AU35" s="356">
        <v>35712</v>
      </c>
      <c r="AV35" s="311">
        <v>33232</v>
      </c>
      <c r="AW35" s="312"/>
      <c r="AX35" s="314">
        <v>32736</v>
      </c>
      <c r="AY35" s="311">
        <v>30752</v>
      </c>
      <c r="AZ35" s="312"/>
      <c r="BA35" s="314">
        <f>66960+33232</f>
        <v>100192</v>
      </c>
      <c r="BB35" s="267">
        <f t="shared" si="60"/>
        <v>96720</v>
      </c>
      <c r="BC35" s="268">
        <f t="shared" si="60"/>
        <v>0</v>
      </c>
      <c r="BD35" s="462">
        <f t="shared" si="60"/>
        <v>168640</v>
      </c>
      <c r="BE35" s="311">
        <v>32736</v>
      </c>
      <c r="BF35" s="312"/>
      <c r="BG35" s="314">
        <v>30752</v>
      </c>
      <c r="BH35" s="311">
        <v>32240</v>
      </c>
      <c r="BI35" s="312"/>
      <c r="BJ35" s="314">
        <v>32736</v>
      </c>
      <c r="BK35" s="311"/>
      <c r="BL35" s="312"/>
      <c r="BM35" s="313">
        <v>32240</v>
      </c>
      <c r="BN35" s="311">
        <f t="shared" si="61"/>
        <v>64976</v>
      </c>
      <c r="BO35" s="312">
        <f t="shared" si="61"/>
        <v>0</v>
      </c>
      <c r="BP35" s="313">
        <f t="shared" si="61"/>
        <v>95728</v>
      </c>
      <c r="BQ35" s="360">
        <f>AD35+AP35+BB35+BN35+89776</f>
        <v>641328</v>
      </c>
      <c r="BR35" s="361">
        <f aca="true" t="shared" si="65" ref="BR35:BS37">AE35+AQ35+BC35+BO35</f>
        <v>0</v>
      </c>
      <c r="BS35" s="419">
        <f t="shared" si="65"/>
        <v>581808</v>
      </c>
      <c r="BT35" s="485"/>
      <c r="BU35" s="356">
        <f>Q35-BQ35</f>
        <v>143840</v>
      </c>
      <c r="BV35" s="32"/>
      <c r="BW35" s="403"/>
      <c r="BX35" s="469">
        <v>-992</v>
      </c>
      <c r="BY35" s="489">
        <f>BQ35-BZ35</f>
        <v>143840</v>
      </c>
      <c r="BZ35" s="529">
        <f t="shared" si="5"/>
        <v>497488</v>
      </c>
      <c r="CA35" s="133">
        <f t="shared" si="6"/>
        <v>58302.545454545456</v>
      </c>
      <c r="CB35" s="476"/>
      <c r="CC35" s="208">
        <v>38688</v>
      </c>
    </row>
    <row r="36" spans="1:81" s="1" customFormat="1" ht="18.75" customHeight="1" thickBot="1">
      <c r="A36" s="723" t="s">
        <v>36</v>
      </c>
      <c r="B36" s="724"/>
      <c r="C36" s="86">
        <f>10740+35450-24590-4000-6780</f>
        <v>10820</v>
      </c>
      <c r="D36" s="58"/>
      <c r="E36" s="108">
        <v>7714</v>
      </c>
      <c r="F36" s="109">
        <v>0</v>
      </c>
      <c r="G36" s="152">
        <v>11565</v>
      </c>
      <c r="H36" s="140"/>
      <c r="I36" s="100">
        <v>3106</v>
      </c>
      <c r="J36" s="393"/>
      <c r="K36" s="133">
        <v>642.8333333333334</v>
      </c>
      <c r="L36" s="186">
        <v>3100</v>
      </c>
      <c r="M36" s="61">
        <v>-6</v>
      </c>
      <c r="N36" s="291"/>
      <c r="O36" s="234">
        <f>2510-2510</f>
        <v>0</v>
      </c>
      <c r="P36" s="227">
        <f>6020+2510</f>
        <v>8530</v>
      </c>
      <c r="Q36" s="380">
        <f t="shared" si="54"/>
        <v>0</v>
      </c>
      <c r="R36" s="227">
        <v>0</v>
      </c>
      <c r="S36" s="227">
        <f>4260-4260</f>
        <v>0</v>
      </c>
      <c r="T36" s="252">
        <v>0</v>
      </c>
      <c r="U36" s="311">
        <v>0</v>
      </c>
      <c r="V36" s="312"/>
      <c r="W36" s="313"/>
      <c r="X36" s="311"/>
      <c r="Y36" s="312"/>
      <c r="Z36" s="313"/>
      <c r="AA36" s="311"/>
      <c r="AB36" s="312"/>
      <c r="AC36" s="313"/>
      <c r="AD36" s="104">
        <f>U36+X36+AA36</f>
        <v>0</v>
      </c>
      <c r="AE36" s="105">
        <f t="shared" si="63"/>
        <v>0</v>
      </c>
      <c r="AF36" s="449">
        <f t="shared" si="63"/>
        <v>0</v>
      </c>
      <c r="AG36" s="311"/>
      <c r="AH36" s="312"/>
      <c r="AI36" s="313"/>
      <c r="AJ36" s="311"/>
      <c r="AK36" s="312"/>
      <c r="AL36" s="314"/>
      <c r="AM36" s="311"/>
      <c r="AN36" s="312"/>
      <c r="AO36" s="314"/>
      <c r="AP36" s="267">
        <f>AG36+AJ36+AM36</f>
        <v>0</v>
      </c>
      <c r="AQ36" s="268">
        <f t="shared" si="64"/>
        <v>0</v>
      </c>
      <c r="AR36" s="482">
        <f t="shared" si="64"/>
        <v>0</v>
      </c>
      <c r="AS36" s="311">
        <v>0</v>
      </c>
      <c r="AT36" s="314"/>
      <c r="AU36" s="356"/>
      <c r="AV36" s="311"/>
      <c r="AW36" s="312"/>
      <c r="AX36" s="314"/>
      <c r="AY36" s="311"/>
      <c r="AZ36" s="312"/>
      <c r="BA36" s="314"/>
      <c r="BB36" s="267">
        <f t="shared" si="60"/>
        <v>0</v>
      </c>
      <c r="BC36" s="268">
        <f t="shared" si="60"/>
        <v>0</v>
      </c>
      <c r="BD36" s="462">
        <f t="shared" si="60"/>
        <v>0</v>
      </c>
      <c r="BE36" s="311"/>
      <c r="BF36" s="312"/>
      <c r="BG36" s="314"/>
      <c r="BH36" s="311"/>
      <c r="BI36" s="312"/>
      <c r="BJ36" s="314"/>
      <c r="BK36" s="311"/>
      <c r="BL36" s="312"/>
      <c r="BM36" s="313"/>
      <c r="BN36" s="311">
        <f t="shared" si="61"/>
        <v>0</v>
      </c>
      <c r="BO36" s="312">
        <f t="shared" si="61"/>
        <v>0</v>
      </c>
      <c r="BP36" s="313">
        <f t="shared" si="61"/>
        <v>0</v>
      </c>
      <c r="BQ36" s="360">
        <f>AD36+AP36+BB36+BN36</f>
        <v>0</v>
      </c>
      <c r="BR36" s="361">
        <f t="shared" si="65"/>
        <v>0</v>
      </c>
      <c r="BS36" s="419">
        <f t="shared" si="65"/>
        <v>0</v>
      </c>
      <c r="BT36" s="485"/>
      <c r="BU36" s="356">
        <f>Q36-BQ36</f>
        <v>0</v>
      </c>
      <c r="BV36" s="32"/>
      <c r="BW36" s="403"/>
      <c r="BX36" s="469">
        <v>0</v>
      </c>
      <c r="BY36" s="489">
        <f>BQ36-BZ36</f>
        <v>0</v>
      </c>
      <c r="BZ36" s="529">
        <f t="shared" si="5"/>
        <v>0</v>
      </c>
      <c r="CA36" s="133">
        <f t="shared" si="6"/>
        <v>0</v>
      </c>
      <c r="CB36" s="476"/>
      <c r="CC36" s="212">
        <v>0</v>
      </c>
    </row>
    <row r="37" spans="1:81" s="1" customFormat="1" ht="23.25" customHeight="1" thickBot="1">
      <c r="A37" s="714" t="s">
        <v>37</v>
      </c>
      <c r="B37" s="738"/>
      <c r="C37" s="86">
        <f>1930+360+770-320</f>
        <v>2740</v>
      </c>
      <c r="D37" s="59"/>
      <c r="E37" s="110">
        <v>2420</v>
      </c>
      <c r="F37" s="111">
        <v>0</v>
      </c>
      <c r="G37" s="153">
        <v>2640</v>
      </c>
      <c r="H37" s="141"/>
      <c r="I37" s="101">
        <v>320</v>
      </c>
      <c r="J37" s="394"/>
      <c r="K37" s="133">
        <v>201.66666666666666</v>
      </c>
      <c r="L37" s="186"/>
      <c r="M37" s="199">
        <v>-320</v>
      </c>
      <c r="N37" s="291"/>
      <c r="O37" s="237">
        <f>510+690+710</f>
        <v>1910</v>
      </c>
      <c r="P37" s="246">
        <f>1400-690</f>
        <v>710</v>
      </c>
      <c r="Q37" s="382">
        <f t="shared" si="54"/>
        <v>4910</v>
      </c>
      <c r="R37" s="374">
        <v>0</v>
      </c>
      <c r="S37" s="374">
        <v>1500</v>
      </c>
      <c r="T37" s="374">
        <v>1500</v>
      </c>
      <c r="U37" s="311">
        <v>500</v>
      </c>
      <c r="V37" s="312"/>
      <c r="W37" s="313">
        <v>320</v>
      </c>
      <c r="X37" s="311"/>
      <c r="Y37" s="312"/>
      <c r="Z37" s="313">
        <v>160</v>
      </c>
      <c r="AA37" s="311">
        <v>320</v>
      </c>
      <c r="AB37" s="312"/>
      <c r="AC37" s="313">
        <v>500</v>
      </c>
      <c r="AD37" s="455">
        <f>U37+X37+AA37</f>
        <v>820</v>
      </c>
      <c r="AE37" s="456">
        <f t="shared" si="63"/>
        <v>0</v>
      </c>
      <c r="AF37" s="457">
        <f t="shared" si="63"/>
        <v>980</v>
      </c>
      <c r="AG37" s="311">
        <v>500</v>
      </c>
      <c r="AH37" s="312"/>
      <c r="AI37" s="313"/>
      <c r="AJ37" s="311">
        <v>580</v>
      </c>
      <c r="AK37" s="312"/>
      <c r="AL37" s="314">
        <v>320</v>
      </c>
      <c r="AM37" s="311">
        <v>0</v>
      </c>
      <c r="AN37" s="312"/>
      <c r="AO37" s="314">
        <v>500</v>
      </c>
      <c r="AP37" s="267">
        <f>AG37+AJ37+AM37</f>
        <v>1080</v>
      </c>
      <c r="AQ37" s="268">
        <f t="shared" si="64"/>
        <v>0</v>
      </c>
      <c r="AR37" s="482">
        <f t="shared" si="64"/>
        <v>820</v>
      </c>
      <c r="AS37" s="311">
        <v>420</v>
      </c>
      <c r="AT37" s="314"/>
      <c r="AU37" s="356">
        <v>580</v>
      </c>
      <c r="AV37" s="311">
        <v>560</v>
      </c>
      <c r="AW37" s="312"/>
      <c r="AX37" s="314">
        <v>0</v>
      </c>
      <c r="AY37" s="311">
        <v>600</v>
      </c>
      <c r="AZ37" s="312"/>
      <c r="BA37" s="314"/>
      <c r="BB37" s="267">
        <f t="shared" si="60"/>
        <v>1580</v>
      </c>
      <c r="BC37" s="268">
        <f t="shared" si="60"/>
        <v>0</v>
      </c>
      <c r="BD37" s="462">
        <f t="shared" si="60"/>
        <v>580</v>
      </c>
      <c r="BE37" s="311">
        <v>500</v>
      </c>
      <c r="BF37" s="312"/>
      <c r="BG37" s="314">
        <v>980</v>
      </c>
      <c r="BH37" s="311"/>
      <c r="BI37" s="312"/>
      <c r="BJ37" s="314">
        <v>530</v>
      </c>
      <c r="BK37" s="311"/>
      <c r="BL37" s="312"/>
      <c r="BM37" s="313"/>
      <c r="BN37" s="330">
        <f t="shared" si="61"/>
        <v>500</v>
      </c>
      <c r="BO37" s="331">
        <f t="shared" si="61"/>
        <v>0</v>
      </c>
      <c r="BP37" s="333">
        <f t="shared" si="61"/>
        <v>1510</v>
      </c>
      <c r="BQ37" s="362">
        <f>AD37+AP37+BB37+BN37</f>
        <v>3980</v>
      </c>
      <c r="BR37" s="363">
        <f t="shared" si="65"/>
        <v>0</v>
      </c>
      <c r="BS37" s="420">
        <f t="shared" si="65"/>
        <v>3890</v>
      </c>
      <c r="BT37" s="486"/>
      <c r="BU37" s="356">
        <f>Q37-BQ37</f>
        <v>930</v>
      </c>
      <c r="BV37" s="354"/>
      <c r="BW37" s="405"/>
      <c r="BX37" s="473">
        <v>-380</v>
      </c>
      <c r="BY37" s="512">
        <f>BQ37-BZ37</f>
        <v>570</v>
      </c>
      <c r="BZ37" s="530">
        <f t="shared" si="5"/>
        <v>3410</v>
      </c>
      <c r="CA37" s="133">
        <f t="shared" si="6"/>
        <v>361.8181818181818</v>
      </c>
      <c r="CB37" s="543"/>
      <c r="CC37" s="208">
        <v>1000</v>
      </c>
    </row>
    <row r="38" spans="1:81" s="1" customFormat="1" ht="29.25" customHeight="1" thickBot="1">
      <c r="A38" s="732" t="s">
        <v>121</v>
      </c>
      <c r="B38" s="733"/>
      <c r="C38" s="75">
        <f>C5+C6+C8+C18+C21+C28+C32+C33+C34+C35+C36+C37</f>
        <v>45211712</v>
      </c>
      <c r="D38" s="46">
        <f>D5+D11+D14+D21+D23+D32+D34</f>
        <v>2482518.81</v>
      </c>
      <c r="E38" s="34">
        <v>44464811.97</v>
      </c>
      <c r="F38" s="35">
        <v>13454033.18</v>
      </c>
      <c r="G38" s="154">
        <v>15326029.059999999</v>
      </c>
      <c r="H38" s="34">
        <v>699502.9299999992</v>
      </c>
      <c r="I38" s="35">
        <v>551972.17</v>
      </c>
      <c r="J38" s="395">
        <f>J5+J9+J11+J14+J21+J23+J32+J34</f>
        <v>2571402.2199999997</v>
      </c>
      <c r="K38" s="128"/>
      <c r="L38" s="203"/>
      <c r="M38" s="1" t="s">
        <v>58</v>
      </c>
      <c r="N38" s="293"/>
      <c r="O38" s="223">
        <f>O7+O10+O13+O17+O21+O28+O32+O33+O34+O35+O36+O37</f>
        <v>12052902</v>
      </c>
      <c r="P38" s="223">
        <f>P7+P10+P13+P17+P21+P28+P32+P33+P34+P35+P36+P37</f>
        <v>26082242</v>
      </c>
      <c r="Q38" s="350">
        <f>Q7+Q10+Q13+Q17+Q21+Q28+Q32+Q33+Q34</f>
        <v>50943580</v>
      </c>
      <c r="R38" s="350">
        <f>R7+R10+R13+R17+R21+R28+R32+R33+R34+R35+R36+R37</f>
        <v>10895762</v>
      </c>
      <c r="S38" s="350">
        <f>S7+S10+S13+S17+S21+S28+S32+S33+S34+S35+S36+S37</f>
        <v>15130444</v>
      </c>
      <c r="T38" s="350">
        <f>T7+T10+T13+T17+T21+T28+T32+T33+T34+T35+T36+T37</f>
        <v>13654550</v>
      </c>
      <c r="U38" s="367">
        <f>U7+U10+U13+U17+U21+U28+U32+U33+U34+U35+U36+U37</f>
        <v>4124027.1200000006</v>
      </c>
      <c r="V38" s="367">
        <f>V7+V10+V13+V17+V21+V28+V32+V33+V34+V36</f>
        <v>347118.67</v>
      </c>
      <c r="W38" s="367">
        <f aca="true" t="shared" si="66" ref="W38:BB38">W7+W10+W13+W17+W21+W28+W32+W33+W34+W35+W36+W37</f>
        <v>378690.12</v>
      </c>
      <c r="X38" s="367">
        <f t="shared" si="66"/>
        <v>3794416.83</v>
      </c>
      <c r="Y38" s="367">
        <f t="shared" si="66"/>
        <v>1199934.48</v>
      </c>
      <c r="Z38" s="367">
        <f t="shared" si="66"/>
        <v>775458.13</v>
      </c>
      <c r="AA38" s="367">
        <f t="shared" si="66"/>
        <v>3842418.88</v>
      </c>
      <c r="AB38" s="367">
        <f t="shared" si="66"/>
        <v>405669.42000000004</v>
      </c>
      <c r="AC38" s="425">
        <f t="shared" si="66"/>
        <v>411794.23</v>
      </c>
      <c r="AD38" s="367">
        <f t="shared" si="66"/>
        <v>11869982.829999998</v>
      </c>
      <c r="AE38" s="367">
        <f t="shared" si="66"/>
        <v>1952722.5699999996</v>
      </c>
      <c r="AF38" s="425">
        <f t="shared" si="66"/>
        <v>1565942.48</v>
      </c>
      <c r="AG38" s="425">
        <f t="shared" si="66"/>
        <v>4042960.74</v>
      </c>
      <c r="AH38" s="425">
        <f t="shared" si="66"/>
        <v>315505.74999999994</v>
      </c>
      <c r="AI38" s="425">
        <f t="shared" si="66"/>
        <v>1239602.8599999999</v>
      </c>
      <c r="AJ38" s="425">
        <f t="shared" si="66"/>
        <v>4308927.53</v>
      </c>
      <c r="AK38" s="425">
        <f t="shared" si="66"/>
        <v>2036440.18</v>
      </c>
      <c r="AL38" s="425">
        <f t="shared" si="66"/>
        <v>432809.15</v>
      </c>
      <c r="AM38" s="425">
        <f t="shared" si="66"/>
        <v>4320422.85</v>
      </c>
      <c r="AN38" s="425">
        <f t="shared" si="66"/>
        <v>906038.55</v>
      </c>
      <c r="AO38" s="367">
        <f t="shared" si="66"/>
        <v>352213.74999999994</v>
      </c>
      <c r="AP38" s="425">
        <f t="shared" si="66"/>
        <v>12739271.120000003</v>
      </c>
      <c r="AQ38" s="425">
        <f t="shared" si="66"/>
        <v>3257984.48</v>
      </c>
      <c r="AR38" s="367">
        <f t="shared" si="66"/>
        <v>2024625.7599999998</v>
      </c>
      <c r="AS38" s="367">
        <f t="shared" si="66"/>
        <v>4399000.5</v>
      </c>
      <c r="AT38" s="367">
        <f t="shared" si="66"/>
        <v>891151.7000000001</v>
      </c>
      <c r="AU38" s="503">
        <f t="shared" si="66"/>
        <v>2072732.18</v>
      </c>
      <c r="AV38" s="367">
        <f t="shared" si="66"/>
        <v>4365993.88</v>
      </c>
      <c r="AW38" s="367">
        <f t="shared" si="66"/>
        <v>756997.95</v>
      </c>
      <c r="AX38" s="367">
        <f t="shared" si="66"/>
        <v>562701.61</v>
      </c>
      <c r="AY38" s="367">
        <f t="shared" si="66"/>
        <v>4046699.0399999996</v>
      </c>
      <c r="AZ38" s="367">
        <f t="shared" si="66"/>
        <v>885868.3600000001</v>
      </c>
      <c r="BA38" s="367">
        <f t="shared" si="66"/>
        <v>1367409.2000000002</v>
      </c>
      <c r="BB38" s="367">
        <f t="shared" si="66"/>
        <v>12811693.420000002</v>
      </c>
      <c r="BC38" s="367">
        <f aca="true" t="shared" si="67" ref="BC38:BV38">BC7+BC10+BC13+BC17+BC21+BC28+BC32+BC33+BC34+BC35+BC36+BC37</f>
        <v>2534018.0100000002</v>
      </c>
      <c r="BD38" s="367">
        <f t="shared" si="67"/>
        <v>4002842.9899999998</v>
      </c>
      <c r="BE38" s="367">
        <f t="shared" si="67"/>
        <v>4598249.82</v>
      </c>
      <c r="BF38" s="367">
        <f t="shared" si="67"/>
        <v>1348144.24</v>
      </c>
      <c r="BG38" s="367">
        <f t="shared" si="67"/>
        <v>788724.6100000001</v>
      </c>
      <c r="BH38" s="367">
        <f t="shared" si="67"/>
        <v>4461783.26</v>
      </c>
      <c r="BI38" s="367">
        <f t="shared" si="67"/>
        <v>627453.3899999999</v>
      </c>
      <c r="BJ38" s="367">
        <f t="shared" si="67"/>
        <v>910350.58</v>
      </c>
      <c r="BK38" s="367">
        <f t="shared" si="67"/>
        <v>0</v>
      </c>
      <c r="BL38" s="367">
        <f t="shared" si="67"/>
        <v>0</v>
      </c>
      <c r="BM38" s="367">
        <f t="shared" si="67"/>
        <v>244604.05</v>
      </c>
      <c r="BN38" s="367">
        <f t="shared" si="67"/>
        <v>9060033.08</v>
      </c>
      <c r="BO38" s="367">
        <f t="shared" si="67"/>
        <v>1975597.63</v>
      </c>
      <c r="BP38" s="367">
        <f t="shared" si="67"/>
        <v>1943679.24</v>
      </c>
      <c r="BQ38" s="367">
        <f t="shared" si="67"/>
        <v>46570756.449999996</v>
      </c>
      <c r="BR38" s="367">
        <f t="shared" si="67"/>
        <v>9720322.69</v>
      </c>
      <c r="BS38" s="367">
        <f t="shared" si="67"/>
        <v>9537090.469999999</v>
      </c>
      <c r="BT38" s="417">
        <f t="shared" si="67"/>
        <v>1981847.3100000005</v>
      </c>
      <c r="BU38" s="368">
        <f t="shared" si="67"/>
        <v>3682704.009999997</v>
      </c>
      <c r="BV38" s="499">
        <f t="shared" si="67"/>
        <v>2079269.020000001</v>
      </c>
      <c r="BW38" s="499"/>
      <c r="BX38" s="499"/>
      <c r="BY38" s="499"/>
      <c r="BZ38" s="499"/>
      <c r="CA38" s="499"/>
      <c r="CB38" s="499">
        <f>CB7+CB10+CB13+CB17+CB21+CB28+CB32+CB33+CB34+CB35+CB36+CB37</f>
        <v>3225426.75</v>
      </c>
      <c r="CC38" s="544">
        <f>CC7+CC10+CC13+CC17+CC21+CC28+CC32+CC33+CC34+CC35+CC36+CC37</f>
        <v>4288688</v>
      </c>
    </row>
    <row r="39" spans="1:81" s="11" customFormat="1" ht="16.5" customHeight="1">
      <c r="A39" s="2" t="s">
        <v>19</v>
      </c>
      <c r="B39" s="523" t="s">
        <v>47</v>
      </c>
      <c r="C39" s="76">
        <f>C5+C6+C13+C21+C28+C32+C33</f>
        <v>40014640</v>
      </c>
      <c r="D39" s="29">
        <f>D5+D6+D13+D21+D28+D32+D33</f>
        <v>2394520.5</v>
      </c>
      <c r="E39" s="12">
        <v>40001604.02</v>
      </c>
      <c r="F39" s="29">
        <v>13116780.64</v>
      </c>
      <c r="G39" s="155">
        <v>14554508.11</v>
      </c>
      <c r="H39" s="12">
        <v>105279.35999999935</v>
      </c>
      <c r="I39" s="29">
        <v>-110594.27</v>
      </c>
      <c r="J39" s="396">
        <f>J5+J11+J21+J23+J32</f>
        <v>2432977.67</v>
      </c>
      <c r="K39" s="134" t="s">
        <v>56</v>
      </c>
      <c r="L39" s="202"/>
      <c r="M39" s="11" t="s">
        <v>59</v>
      </c>
      <c r="N39" s="28"/>
      <c r="O39" s="224">
        <f aca="true" t="shared" si="68" ref="O39:AT39">O7+O13+O21+O28+O32+O33</f>
        <v>10716100</v>
      </c>
      <c r="P39" s="224">
        <f t="shared" si="68"/>
        <v>18835300</v>
      </c>
      <c r="Q39" s="351">
        <f t="shared" si="68"/>
        <v>45194150</v>
      </c>
      <c r="R39" s="351">
        <f t="shared" si="68"/>
        <v>9473990</v>
      </c>
      <c r="S39" s="351">
        <f t="shared" si="68"/>
        <v>12063660</v>
      </c>
      <c r="T39" s="351">
        <f t="shared" si="68"/>
        <v>12940400</v>
      </c>
      <c r="U39" s="369">
        <f t="shared" si="68"/>
        <v>3777666.09</v>
      </c>
      <c r="V39" s="369">
        <f t="shared" si="68"/>
        <v>292736.3</v>
      </c>
      <c r="W39" s="369">
        <f t="shared" si="68"/>
        <v>310910.12</v>
      </c>
      <c r="X39" s="369">
        <f t="shared" si="68"/>
        <v>3424765.8099999996</v>
      </c>
      <c r="Y39" s="369">
        <f t="shared" si="68"/>
        <v>1199934.48</v>
      </c>
      <c r="Z39" s="369">
        <f t="shared" si="68"/>
        <v>574290</v>
      </c>
      <c r="AA39" s="369">
        <f t="shared" si="68"/>
        <v>3437174</v>
      </c>
      <c r="AB39" s="369">
        <f t="shared" si="68"/>
        <v>307517.54000000004</v>
      </c>
      <c r="AC39" s="426">
        <f t="shared" si="68"/>
        <v>321695.86</v>
      </c>
      <c r="AD39" s="369">
        <f t="shared" si="68"/>
        <v>10639605.899999999</v>
      </c>
      <c r="AE39" s="369">
        <f t="shared" si="68"/>
        <v>1800188.3199999996</v>
      </c>
      <c r="AF39" s="426">
        <f t="shared" si="68"/>
        <v>1206895.98</v>
      </c>
      <c r="AG39" s="426">
        <f t="shared" si="68"/>
        <v>3578319.41</v>
      </c>
      <c r="AH39" s="426">
        <f t="shared" si="68"/>
        <v>250110.50999999998</v>
      </c>
      <c r="AI39" s="426">
        <f t="shared" si="68"/>
        <v>1199922.8599999999</v>
      </c>
      <c r="AJ39" s="426">
        <f t="shared" si="68"/>
        <v>3804608.6100000003</v>
      </c>
      <c r="AK39" s="426">
        <f t="shared" si="68"/>
        <v>1814803.99</v>
      </c>
      <c r="AL39" s="426">
        <f t="shared" si="68"/>
        <v>307553.27</v>
      </c>
      <c r="AM39" s="426">
        <f t="shared" si="68"/>
        <v>3804363.1999999993</v>
      </c>
      <c r="AN39" s="426">
        <f t="shared" si="68"/>
        <v>855099.8</v>
      </c>
      <c r="AO39" s="369">
        <f t="shared" si="68"/>
        <v>250110.50999999998</v>
      </c>
      <c r="AP39" s="426">
        <f t="shared" si="68"/>
        <v>11187291.22</v>
      </c>
      <c r="AQ39" s="426">
        <f t="shared" si="68"/>
        <v>2920014.3000000003</v>
      </c>
      <c r="AR39" s="369">
        <f t="shared" si="68"/>
        <v>1757586.6399999997</v>
      </c>
      <c r="AS39" s="369">
        <f t="shared" si="68"/>
        <v>3978411.91</v>
      </c>
      <c r="AT39" s="369">
        <f t="shared" si="68"/>
        <v>548006.4099999999</v>
      </c>
      <c r="AU39" s="504">
        <f aca="true" t="shared" si="69" ref="AU39:BV39">AU7+AU13+AU21+AU28+AU32+AU33</f>
        <v>1814803.99</v>
      </c>
      <c r="AV39" s="369">
        <f t="shared" si="69"/>
        <v>3899126.87</v>
      </c>
      <c r="AW39" s="369">
        <f t="shared" si="69"/>
        <v>756997.95</v>
      </c>
      <c r="AX39" s="369">
        <f t="shared" si="69"/>
        <v>479026.86</v>
      </c>
      <c r="AY39" s="369">
        <f t="shared" si="69"/>
        <v>3635486.1499999994</v>
      </c>
      <c r="AZ39" s="369">
        <f t="shared" si="69"/>
        <v>762696.0900000001</v>
      </c>
      <c r="BA39" s="369">
        <f t="shared" si="69"/>
        <v>924071.9100000001</v>
      </c>
      <c r="BB39" s="369">
        <f t="shared" si="69"/>
        <v>11513024.93</v>
      </c>
      <c r="BC39" s="369">
        <f t="shared" si="69"/>
        <v>2067700.45</v>
      </c>
      <c r="BD39" s="369">
        <f t="shared" si="69"/>
        <v>3217902.76</v>
      </c>
      <c r="BE39" s="369">
        <f t="shared" si="69"/>
        <v>4091233.7100000004</v>
      </c>
      <c r="BF39" s="369">
        <f t="shared" si="69"/>
        <v>1135780.19</v>
      </c>
      <c r="BG39" s="369">
        <f t="shared" si="69"/>
        <v>756992.6100000001</v>
      </c>
      <c r="BH39" s="369">
        <f t="shared" si="69"/>
        <v>3934114.9499999997</v>
      </c>
      <c r="BI39" s="369">
        <f t="shared" si="69"/>
        <v>374445.63</v>
      </c>
      <c r="BJ39" s="369">
        <f t="shared" si="69"/>
        <v>762708.87</v>
      </c>
      <c r="BK39" s="369">
        <f t="shared" si="69"/>
        <v>0</v>
      </c>
      <c r="BL39" s="369">
        <f t="shared" si="69"/>
        <v>0</v>
      </c>
      <c r="BM39" s="369">
        <f t="shared" si="69"/>
        <v>0</v>
      </c>
      <c r="BN39" s="369">
        <f t="shared" si="69"/>
        <v>8025348.660000001</v>
      </c>
      <c r="BO39" s="369">
        <f t="shared" si="69"/>
        <v>1510225.82</v>
      </c>
      <c r="BP39" s="369">
        <f t="shared" si="69"/>
        <v>1519701.48</v>
      </c>
      <c r="BQ39" s="369">
        <f t="shared" si="69"/>
        <v>41365270.71</v>
      </c>
      <c r="BR39" s="369">
        <f t="shared" si="69"/>
        <v>8298128.89</v>
      </c>
      <c r="BS39" s="369">
        <f t="shared" si="69"/>
        <v>7702086.859999999</v>
      </c>
      <c r="BT39" s="504">
        <f t="shared" si="69"/>
        <v>1464661.1100000003</v>
      </c>
      <c r="BU39" s="369">
        <f t="shared" si="69"/>
        <v>3241011.4099999974</v>
      </c>
      <c r="BV39" s="500">
        <f t="shared" si="69"/>
        <v>1565701.010000001</v>
      </c>
      <c r="BW39" s="500"/>
      <c r="BX39" s="500"/>
      <c r="BY39" s="500"/>
      <c r="BZ39" s="500"/>
      <c r="CA39" s="500"/>
      <c r="CB39" s="500">
        <f>CB7+CB13+CB21+CB28+CB32+CB33</f>
        <v>3190426.75</v>
      </c>
      <c r="CC39" s="369">
        <f>CC7+CC13+CC21+CC28+CC32+CC33</f>
        <v>3769000</v>
      </c>
    </row>
    <row r="40" spans="1:81" s="11" customFormat="1" ht="17.25" customHeight="1" thickBot="1">
      <c r="A40" s="14"/>
      <c r="B40" s="477" t="s">
        <v>20</v>
      </c>
      <c r="C40" s="77">
        <f>C14+C15+C16+C34</f>
        <v>1605610</v>
      </c>
      <c r="D40" s="30">
        <f>D17+D34</f>
        <v>67754.4</v>
      </c>
      <c r="E40" s="16">
        <v>1513904.06</v>
      </c>
      <c r="F40" s="30">
        <v>337252.54</v>
      </c>
      <c r="G40" s="156">
        <v>384319.95</v>
      </c>
      <c r="H40" s="16">
        <v>627.460000000021</v>
      </c>
      <c r="I40" s="30">
        <v>20408.330000000075</v>
      </c>
      <c r="J40" s="397">
        <f>J34</f>
        <v>138424.55</v>
      </c>
      <c r="K40" s="134" t="s">
        <v>57</v>
      </c>
      <c r="L40" s="163">
        <f>L17+L34</f>
        <v>0</v>
      </c>
      <c r="N40" s="28"/>
      <c r="O40" s="225">
        <f aca="true" t="shared" si="70" ref="O40:AT40">O17+O34</f>
        <v>406810</v>
      </c>
      <c r="P40" s="225">
        <f t="shared" si="70"/>
        <v>1062280</v>
      </c>
      <c r="Q40" s="352">
        <f t="shared" si="70"/>
        <v>1605430</v>
      </c>
      <c r="R40" s="352">
        <f t="shared" si="70"/>
        <v>407500</v>
      </c>
      <c r="S40" s="352">
        <f t="shared" si="70"/>
        <v>444740</v>
      </c>
      <c r="T40" s="352">
        <f t="shared" si="70"/>
        <v>346380</v>
      </c>
      <c r="U40" s="370">
        <f t="shared" si="70"/>
        <v>143077.47</v>
      </c>
      <c r="V40" s="370">
        <f t="shared" si="70"/>
        <v>0</v>
      </c>
      <c r="W40" s="370">
        <f t="shared" si="70"/>
        <v>0</v>
      </c>
      <c r="X40" s="370">
        <f t="shared" si="70"/>
        <v>133683.87</v>
      </c>
      <c r="Y40" s="370">
        <f t="shared" si="70"/>
        <v>0</v>
      </c>
      <c r="Z40" s="370">
        <f t="shared" si="70"/>
        <v>88916.13</v>
      </c>
      <c r="AA40" s="370">
        <f t="shared" si="70"/>
        <v>128737.87000000001</v>
      </c>
      <c r="AB40" s="370">
        <f t="shared" si="70"/>
        <v>59947.82</v>
      </c>
      <c r="AC40" s="428">
        <f t="shared" si="70"/>
        <v>0</v>
      </c>
      <c r="AD40" s="370">
        <f t="shared" si="70"/>
        <v>405499.21</v>
      </c>
      <c r="AE40" s="370">
        <f t="shared" si="70"/>
        <v>59947.82</v>
      </c>
      <c r="AF40" s="428">
        <f t="shared" si="70"/>
        <v>88916.13</v>
      </c>
      <c r="AG40" s="428">
        <f t="shared" si="70"/>
        <v>139007.15</v>
      </c>
      <c r="AH40" s="428">
        <f t="shared" si="70"/>
        <v>0</v>
      </c>
      <c r="AI40" s="428">
        <f t="shared" si="70"/>
        <v>0</v>
      </c>
      <c r="AJ40" s="428">
        <f t="shared" si="70"/>
        <v>161209.5</v>
      </c>
      <c r="AK40" s="428">
        <f t="shared" si="70"/>
        <v>61932.71</v>
      </c>
      <c r="AL40" s="428">
        <f t="shared" si="70"/>
        <v>59947.82</v>
      </c>
      <c r="AM40" s="428">
        <f t="shared" si="70"/>
        <v>118382.17</v>
      </c>
      <c r="AN40" s="428">
        <f t="shared" si="70"/>
        <v>0</v>
      </c>
      <c r="AO40" s="370">
        <f t="shared" si="70"/>
        <v>0</v>
      </c>
      <c r="AP40" s="428">
        <f t="shared" si="70"/>
        <v>418598.82</v>
      </c>
      <c r="AQ40" s="428">
        <f t="shared" si="70"/>
        <v>61932.71</v>
      </c>
      <c r="AR40" s="370">
        <f t="shared" si="70"/>
        <v>59947.82</v>
      </c>
      <c r="AS40" s="370">
        <f t="shared" si="70"/>
        <v>139538.27</v>
      </c>
      <c r="AT40" s="370">
        <f t="shared" si="70"/>
        <v>0</v>
      </c>
      <c r="AU40" s="505">
        <f aca="true" t="shared" si="71" ref="AU40:BV40">AU17+AU34</f>
        <v>61932.71</v>
      </c>
      <c r="AV40" s="370">
        <f t="shared" si="71"/>
        <v>131516.5</v>
      </c>
      <c r="AW40" s="370">
        <f t="shared" si="71"/>
        <v>0</v>
      </c>
      <c r="AX40" s="370">
        <f t="shared" si="71"/>
        <v>0</v>
      </c>
      <c r="AY40" s="370">
        <f t="shared" si="71"/>
        <v>129907.3</v>
      </c>
      <c r="AZ40" s="370">
        <f t="shared" si="71"/>
        <v>68789.9</v>
      </c>
      <c r="BA40" s="370">
        <f t="shared" si="71"/>
        <v>0</v>
      </c>
      <c r="BB40" s="370">
        <f t="shared" si="71"/>
        <v>400962.07</v>
      </c>
      <c r="BC40" s="370">
        <f t="shared" si="71"/>
        <v>68789.9</v>
      </c>
      <c r="BD40" s="370">
        <f t="shared" si="71"/>
        <v>61932.71</v>
      </c>
      <c r="BE40" s="370">
        <f t="shared" si="71"/>
        <v>148308.85</v>
      </c>
      <c r="BF40" s="370">
        <f t="shared" si="71"/>
        <v>0</v>
      </c>
      <c r="BG40" s="370">
        <f t="shared" si="71"/>
        <v>0</v>
      </c>
      <c r="BH40" s="370">
        <f t="shared" si="71"/>
        <v>153748.6</v>
      </c>
      <c r="BI40" s="370">
        <f t="shared" si="71"/>
        <v>34592.24</v>
      </c>
      <c r="BJ40" s="370">
        <f t="shared" si="71"/>
        <v>59993.34</v>
      </c>
      <c r="BK40" s="370">
        <f t="shared" si="71"/>
        <v>0</v>
      </c>
      <c r="BL40" s="370">
        <f t="shared" si="71"/>
        <v>0</v>
      </c>
      <c r="BM40" s="370">
        <f t="shared" si="71"/>
        <v>0</v>
      </c>
      <c r="BN40" s="370">
        <f t="shared" si="71"/>
        <v>302057.45</v>
      </c>
      <c r="BO40" s="370">
        <f t="shared" si="71"/>
        <v>34592.24</v>
      </c>
      <c r="BP40" s="370">
        <f t="shared" si="71"/>
        <v>59993.34</v>
      </c>
      <c r="BQ40" s="370">
        <f t="shared" si="71"/>
        <v>1527117.55</v>
      </c>
      <c r="BR40" s="370">
        <f t="shared" si="71"/>
        <v>225262.66999999998</v>
      </c>
      <c r="BS40" s="370">
        <f t="shared" si="71"/>
        <v>270790</v>
      </c>
      <c r="BT40" s="505">
        <f t="shared" si="71"/>
        <v>117.3300000000163</v>
      </c>
      <c r="BU40" s="370">
        <f t="shared" si="71"/>
        <v>107210.91999999993</v>
      </c>
      <c r="BV40" s="370">
        <f t="shared" si="71"/>
        <v>109408.74999999994</v>
      </c>
      <c r="BW40" s="370"/>
      <c r="BX40" s="370"/>
      <c r="BY40" s="370"/>
      <c r="BZ40" s="370"/>
      <c r="CA40" s="370"/>
      <c r="CB40" s="370">
        <f>CB17+CB34</f>
        <v>35000</v>
      </c>
      <c r="CC40" s="370">
        <f>CC17+CC34</f>
        <v>135000</v>
      </c>
    </row>
    <row r="41" spans="1:68" s="11" customFormat="1" ht="14.25" customHeight="1" thickBot="1">
      <c r="A41" s="87" t="s">
        <v>19</v>
      </c>
      <c r="B41" s="88"/>
      <c r="C41" s="78"/>
      <c r="D41" s="17"/>
      <c r="E41" s="94"/>
      <c r="F41" s="94"/>
      <c r="G41" s="127"/>
      <c r="H41" s="28"/>
      <c r="I41" s="28"/>
      <c r="J41" s="127"/>
      <c r="K41" s="127"/>
      <c r="L41" s="164"/>
      <c r="N41" s="28"/>
      <c r="O41" s="221"/>
      <c r="P41" s="221"/>
      <c r="Q41" s="353"/>
      <c r="R41" s="353"/>
      <c r="S41" s="353"/>
      <c r="T41" s="353"/>
      <c r="U41" s="94"/>
      <c r="V41" s="94"/>
      <c r="W41" s="94"/>
      <c r="X41" s="94"/>
      <c r="Y41" s="94"/>
      <c r="Z41" s="94"/>
      <c r="AA41" s="94"/>
      <c r="AB41" s="94"/>
      <c r="AC41" s="94"/>
      <c r="AD41" s="437"/>
      <c r="AE41" s="438"/>
      <c r="AF41" s="439"/>
      <c r="AG41" s="94"/>
      <c r="AH41" s="94"/>
      <c r="AI41" s="94"/>
      <c r="AJ41" s="437"/>
      <c r="AK41" s="438"/>
      <c r="AL41" s="439"/>
      <c r="AM41" s="94"/>
      <c r="AN41" s="94"/>
      <c r="AO41" s="94"/>
      <c r="AP41" s="437"/>
      <c r="AQ41" s="438"/>
      <c r="AR41" s="439"/>
      <c r="AS41" s="506"/>
      <c r="AT41" s="439"/>
      <c r="AU41" s="439"/>
      <c r="AV41" s="439"/>
      <c r="AW41" s="439"/>
      <c r="AX41" s="439"/>
      <c r="AY41" s="439"/>
      <c r="AZ41" s="439"/>
      <c r="BA41" s="439"/>
      <c r="BB41" s="439"/>
      <c r="BC41" s="439"/>
      <c r="BD41" s="438"/>
      <c r="BE41" s="315"/>
      <c r="BF41" s="316"/>
      <c r="BG41" s="522"/>
      <c r="BH41" s="315"/>
      <c r="BI41" s="316"/>
      <c r="BJ41" s="522"/>
      <c r="BK41" s="315"/>
      <c r="BL41" s="316"/>
      <c r="BM41" s="522"/>
      <c r="BN41" s="315"/>
      <c r="BO41" s="316"/>
      <c r="BP41" s="522"/>
    </row>
    <row r="42" spans="1:81" ht="18.75" customHeight="1" thickBot="1">
      <c r="A42" s="734" t="s">
        <v>89</v>
      </c>
      <c r="B42" s="735"/>
      <c r="C42" s="122">
        <f>C45+C36</f>
        <v>13570760</v>
      </c>
      <c r="D42" s="42"/>
      <c r="E42" s="123">
        <f>E5+E11+E14+E21+E23+E32+E34+E36</f>
        <v>13372726.139999999</v>
      </c>
      <c r="F42" s="123">
        <f>F5+F11+F14+F21+F23+F32+F34+F36</f>
        <v>13454033.18</v>
      </c>
      <c r="G42" s="157">
        <f>G5+G11+G14+G21+G23+G32+G34+G36</f>
        <v>14950393.059999999</v>
      </c>
      <c r="H42" s="123">
        <f>H5+H11+H14+H21+H23+H32+H34+H36</f>
        <v>105906.81999999937</v>
      </c>
      <c r="I42" s="123">
        <f>I5+I11+I14+I21+I23+I32+I34+I36</f>
        <v>3106</v>
      </c>
      <c r="K42" s="187"/>
      <c r="L42" s="165"/>
      <c r="M42" s="169"/>
      <c r="O42" s="513">
        <f aca="true" t="shared" si="72" ref="O42:AT42">O45+O36</f>
        <v>3303700</v>
      </c>
      <c r="P42" s="513">
        <f t="shared" si="72"/>
        <v>7950980</v>
      </c>
      <c r="Q42" s="513">
        <f t="shared" si="72"/>
        <v>11702170</v>
      </c>
      <c r="R42" s="513">
        <f t="shared" si="72"/>
        <v>2111170</v>
      </c>
      <c r="S42" s="513">
        <f t="shared" si="72"/>
        <v>4064960</v>
      </c>
      <c r="T42" s="535">
        <f t="shared" si="72"/>
        <v>2222340</v>
      </c>
      <c r="U42" s="342">
        <f t="shared" si="72"/>
        <v>945025.8199999998</v>
      </c>
      <c r="V42" s="342">
        <f t="shared" si="72"/>
        <v>347118.67</v>
      </c>
      <c r="W42" s="342">
        <f t="shared" si="72"/>
        <v>310910.12</v>
      </c>
      <c r="X42" s="342">
        <f t="shared" si="72"/>
        <v>852358.2599999999</v>
      </c>
      <c r="Y42" s="342">
        <f t="shared" si="72"/>
        <v>1199934.48</v>
      </c>
      <c r="Z42" s="342">
        <f t="shared" si="72"/>
        <v>663206.13</v>
      </c>
      <c r="AA42" s="342">
        <f t="shared" si="72"/>
        <v>885327.5700000001</v>
      </c>
      <c r="AB42" s="342">
        <f t="shared" si="72"/>
        <v>405669.42000000004</v>
      </c>
      <c r="AC42" s="429">
        <f t="shared" si="72"/>
        <v>376078.23</v>
      </c>
      <c r="AD42" s="342">
        <f t="shared" si="72"/>
        <v>2682711.6500000004</v>
      </c>
      <c r="AE42" s="342">
        <f t="shared" si="72"/>
        <v>1952722.5699999996</v>
      </c>
      <c r="AF42" s="342">
        <f t="shared" si="72"/>
        <v>1350194.48</v>
      </c>
      <c r="AG42" s="342">
        <f t="shared" si="72"/>
        <v>902859.1499999999</v>
      </c>
      <c r="AH42" s="342">
        <f t="shared" si="72"/>
        <v>315505.74999999994</v>
      </c>
      <c r="AI42" s="342">
        <f t="shared" si="72"/>
        <v>1199922.8599999999</v>
      </c>
      <c r="AJ42" s="342">
        <f t="shared" si="72"/>
        <v>1038022.0499999999</v>
      </c>
      <c r="AK42" s="342">
        <f t="shared" si="72"/>
        <v>2036440.18</v>
      </c>
      <c r="AL42" s="342">
        <f t="shared" si="72"/>
        <v>405705.15</v>
      </c>
      <c r="AM42" s="342">
        <f t="shared" si="72"/>
        <v>985449.7200000001</v>
      </c>
      <c r="AN42" s="342">
        <f t="shared" si="72"/>
        <v>906038.55</v>
      </c>
      <c r="AO42" s="342">
        <f t="shared" si="72"/>
        <v>315505.74999999994</v>
      </c>
      <c r="AP42" s="342">
        <f t="shared" si="72"/>
        <v>2926330.92</v>
      </c>
      <c r="AQ42" s="342">
        <f t="shared" si="72"/>
        <v>3257984.48</v>
      </c>
      <c r="AR42" s="342">
        <f t="shared" si="72"/>
        <v>1921133.7599999998</v>
      </c>
      <c r="AS42" s="342">
        <f t="shared" si="72"/>
        <v>915691.6699999999</v>
      </c>
      <c r="AT42" s="342">
        <f t="shared" si="72"/>
        <v>891151.7000000001</v>
      </c>
      <c r="AU42" s="433">
        <f aca="true" t="shared" si="73" ref="AU42:BV42">AU45+AU36</f>
        <v>2036440.18</v>
      </c>
      <c r="AV42" s="342">
        <f t="shared" si="73"/>
        <v>959769.5399999999</v>
      </c>
      <c r="AW42" s="342">
        <f t="shared" si="73"/>
        <v>756997.95</v>
      </c>
      <c r="AX42" s="342">
        <f t="shared" si="73"/>
        <v>529965.61</v>
      </c>
      <c r="AY42" s="342">
        <f t="shared" si="73"/>
        <v>771605.6599999999</v>
      </c>
      <c r="AZ42" s="342">
        <f t="shared" si="73"/>
        <v>885868.3600000001</v>
      </c>
      <c r="BA42" s="342">
        <f t="shared" si="73"/>
        <v>1267217.2000000002</v>
      </c>
      <c r="BB42" s="342">
        <f t="shared" si="73"/>
        <v>2647066.869999999</v>
      </c>
      <c r="BC42" s="342">
        <f t="shared" si="73"/>
        <v>2534018.0100000002</v>
      </c>
      <c r="BD42" s="429">
        <f t="shared" si="73"/>
        <v>3833622.9899999998</v>
      </c>
      <c r="BE42" s="429">
        <f t="shared" si="73"/>
        <v>1076180.8199999998</v>
      </c>
      <c r="BF42" s="429">
        <f t="shared" si="73"/>
        <v>1348144.24</v>
      </c>
      <c r="BG42" s="429">
        <f t="shared" si="73"/>
        <v>756992.6100000001</v>
      </c>
      <c r="BH42" s="429">
        <f t="shared" si="73"/>
        <v>889682.2</v>
      </c>
      <c r="BI42" s="429">
        <f t="shared" si="73"/>
        <v>627453.3899999999</v>
      </c>
      <c r="BJ42" s="429">
        <f t="shared" si="73"/>
        <v>877084.58</v>
      </c>
      <c r="BK42" s="429">
        <f t="shared" si="73"/>
        <v>0</v>
      </c>
      <c r="BL42" s="429">
        <f t="shared" si="73"/>
        <v>0</v>
      </c>
      <c r="BM42" s="429">
        <f t="shared" si="73"/>
        <v>212364.05</v>
      </c>
      <c r="BN42" s="429">
        <f t="shared" si="73"/>
        <v>1965863.0200000003</v>
      </c>
      <c r="BO42" s="429">
        <f t="shared" si="73"/>
        <v>1975597.63</v>
      </c>
      <c r="BP42" s="342">
        <f t="shared" si="73"/>
        <v>1846441.24</v>
      </c>
      <c r="BQ42" s="342">
        <f t="shared" si="73"/>
        <v>10221972.459999999</v>
      </c>
      <c r="BR42" s="342">
        <f t="shared" si="73"/>
        <v>9720322.69</v>
      </c>
      <c r="BS42" s="342">
        <f t="shared" si="73"/>
        <v>8951392.469999999</v>
      </c>
      <c r="BT42" s="342">
        <f t="shared" si="73"/>
        <v>1981847.3100000005</v>
      </c>
      <c r="BU42" s="342">
        <f t="shared" si="73"/>
        <v>0</v>
      </c>
      <c r="BV42" s="157">
        <f t="shared" si="73"/>
        <v>2079269.020000001</v>
      </c>
      <c r="BW42" s="157"/>
      <c r="BX42" s="157"/>
      <c r="BY42" s="157"/>
      <c r="BZ42" s="157"/>
      <c r="CA42" s="157"/>
      <c r="CB42" s="157">
        <f>CB45+CB36</f>
        <v>43050</v>
      </c>
      <c r="CC42" s="157">
        <f>CC45+CC36</f>
        <v>976000</v>
      </c>
    </row>
    <row r="43" spans="1:81" ht="18" customHeight="1" thickBot="1">
      <c r="A43" s="400" t="s">
        <v>53</v>
      </c>
      <c r="B43" s="401" t="s">
        <v>91</v>
      </c>
      <c r="C43" s="124">
        <f>C6+C12+C15+C16+C22+C24+C26+C27+C29+C33</f>
        <v>26902440</v>
      </c>
      <c r="D43" s="42"/>
      <c r="E43" s="126">
        <f>E6+E12+E15+E16+E22+E24+E25+E26+E27+E29+E33</f>
        <v>28150495.939999998</v>
      </c>
      <c r="F43" s="126">
        <f>F6+F12+F15+F16+F22+F24+F25+F26+F27+F29+F33</f>
        <v>0</v>
      </c>
      <c r="G43" s="158">
        <f>G6+G12+G15+G16+G22+G24+G25+G26+G27+G29+G33</f>
        <v>8403.31</v>
      </c>
      <c r="H43" s="126">
        <f>H6+H12+H15+H16+H22+H24+H25+H26+H27+H29+H33</f>
        <v>0</v>
      </c>
      <c r="I43" s="126">
        <f>I6+I12+I15+I16+I22+I24+I25+I26+I27+I29+I33</f>
        <v>-90185.94000000025</v>
      </c>
      <c r="K43" s="187"/>
      <c r="L43" s="165"/>
      <c r="M43" s="188"/>
      <c r="O43" s="514">
        <f aca="true" t="shared" si="74" ref="O43:AT43">O6+O8+O12+O17+O22+O24+O25+O26+O27+O33</f>
        <v>8520620</v>
      </c>
      <c r="P43" s="514">
        <f t="shared" si="74"/>
        <v>17916280</v>
      </c>
      <c r="Q43" s="514">
        <f t="shared" si="74"/>
        <v>39241410</v>
      </c>
      <c r="R43" s="514">
        <f t="shared" si="74"/>
        <v>8570320</v>
      </c>
      <c r="S43" s="514">
        <f t="shared" si="74"/>
        <v>11007440</v>
      </c>
      <c r="T43" s="536">
        <f t="shared" si="74"/>
        <v>11143030</v>
      </c>
      <c r="U43" s="343">
        <f t="shared" si="74"/>
        <v>3138325.3000000003</v>
      </c>
      <c r="V43" s="343">
        <f t="shared" si="74"/>
        <v>0</v>
      </c>
      <c r="W43" s="343">
        <f t="shared" si="74"/>
        <v>0</v>
      </c>
      <c r="X43" s="343">
        <f t="shared" si="74"/>
        <v>2906842.5700000003</v>
      </c>
      <c r="Y43" s="343">
        <f t="shared" si="74"/>
        <v>0</v>
      </c>
      <c r="Z43" s="343">
        <f t="shared" si="74"/>
        <v>0</v>
      </c>
      <c r="AA43" s="343">
        <f t="shared" si="74"/>
        <v>2917091.31</v>
      </c>
      <c r="AB43" s="343">
        <f t="shared" si="74"/>
        <v>0</v>
      </c>
      <c r="AC43" s="430">
        <f t="shared" si="74"/>
        <v>0</v>
      </c>
      <c r="AD43" s="343">
        <f t="shared" si="74"/>
        <v>8962259.179999998</v>
      </c>
      <c r="AE43" s="343">
        <f t="shared" si="74"/>
        <v>0</v>
      </c>
      <c r="AF43" s="343">
        <f t="shared" si="74"/>
        <v>0</v>
      </c>
      <c r="AG43" s="343">
        <f t="shared" si="74"/>
        <v>3112817.5900000003</v>
      </c>
      <c r="AH43" s="343">
        <f t="shared" si="74"/>
        <v>0</v>
      </c>
      <c r="AI43" s="343">
        <f t="shared" si="74"/>
        <v>0</v>
      </c>
      <c r="AJ43" s="343">
        <f t="shared" si="74"/>
        <v>3234117.48</v>
      </c>
      <c r="AK43" s="343">
        <f t="shared" si="74"/>
        <v>0</v>
      </c>
      <c r="AL43" s="343">
        <f t="shared" si="74"/>
        <v>0</v>
      </c>
      <c r="AM43" s="343">
        <f t="shared" si="74"/>
        <v>3299261.13</v>
      </c>
      <c r="AN43" s="343">
        <f t="shared" si="74"/>
        <v>0</v>
      </c>
      <c r="AO43" s="343">
        <f t="shared" si="74"/>
        <v>0</v>
      </c>
      <c r="AP43" s="343">
        <f t="shared" si="74"/>
        <v>9646196.200000003</v>
      </c>
      <c r="AQ43" s="343">
        <f t="shared" si="74"/>
        <v>0</v>
      </c>
      <c r="AR43" s="343">
        <f t="shared" si="74"/>
        <v>0</v>
      </c>
      <c r="AS43" s="343">
        <f t="shared" si="74"/>
        <v>3450152.83</v>
      </c>
      <c r="AT43" s="343">
        <f t="shared" si="74"/>
        <v>0</v>
      </c>
      <c r="AU43" s="434">
        <f aca="true" t="shared" si="75" ref="AU43:BV43">AU6+AU8+AU12+AU17+AU22+AU24+AU25+AU26+AU27+AU33</f>
        <v>0</v>
      </c>
      <c r="AV43" s="343">
        <f t="shared" si="75"/>
        <v>3372432.3400000003</v>
      </c>
      <c r="AW43" s="343">
        <f t="shared" si="75"/>
        <v>0</v>
      </c>
      <c r="AX43" s="343">
        <f t="shared" si="75"/>
        <v>0</v>
      </c>
      <c r="AY43" s="343">
        <f t="shared" si="75"/>
        <v>3243741.38</v>
      </c>
      <c r="AZ43" s="343">
        <f t="shared" si="75"/>
        <v>0</v>
      </c>
      <c r="BA43" s="343">
        <f t="shared" si="75"/>
        <v>0</v>
      </c>
      <c r="BB43" s="343">
        <f t="shared" si="75"/>
        <v>10066326.55</v>
      </c>
      <c r="BC43" s="343">
        <f t="shared" si="75"/>
        <v>0</v>
      </c>
      <c r="BD43" s="430">
        <f t="shared" si="75"/>
        <v>0</v>
      </c>
      <c r="BE43" s="430">
        <f t="shared" si="75"/>
        <v>3488833.000000001</v>
      </c>
      <c r="BF43" s="430">
        <f t="shared" si="75"/>
        <v>0</v>
      </c>
      <c r="BG43" s="430">
        <f t="shared" si="75"/>
        <v>0</v>
      </c>
      <c r="BH43" s="430">
        <f t="shared" si="75"/>
        <v>3539861.0599999996</v>
      </c>
      <c r="BI43" s="430">
        <f t="shared" si="75"/>
        <v>0</v>
      </c>
      <c r="BJ43" s="430">
        <f t="shared" si="75"/>
        <v>0</v>
      </c>
      <c r="BK43" s="430">
        <f t="shared" si="75"/>
        <v>0</v>
      </c>
      <c r="BL43" s="430">
        <f t="shared" si="75"/>
        <v>0</v>
      </c>
      <c r="BM43" s="430">
        <f t="shared" si="75"/>
        <v>0</v>
      </c>
      <c r="BN43" s="430">
        <f t="shared" si="75"/>
        <v>7028694.0600000005</v>
      </c>
      <c r="BO43" s="430">
        <f t="shared" si="75"/>
        <v>0</v>
      </c>
      <c r="BP43" s="343">
        <f t="shared" si="75"/>
        <v>0</v>
      </c>
      <c r="BQ43" s="343">
        <f t="shared" si="75"/>
        <v>35703475.99</v>
      </c>
      <c r="BR43" s="343">
        <f t="shared" si="75"/>
        <v>0</v>
      </c>
      <c r="BS43" s="343">
        <f t="shared" si="75"/>
        <v>0</v>
      </c>
      <c r="BT43" s="343">
        <f t="shared" si="75"/>
        <v>0</v>
      </c>
      <c r="BU43" s="343">
        <f t="shared" si="75"/>
        <v>3537934.0099999974</v>
      </c>
      <c r="BV43" s="158">
        <f t="shared" si="75"/>
        <v>0</v>
      </c>
      <c r="BW43" s="158"/>
      <c r="BX43" s="158"/>
      <c r="BY43" s="158"/>
      <c r="BZ43" s="158"/>
      <c r="CA43" s="158"/>
      <c r="CB43" s="158">
        <f>CB6+CB8+CB12+CB17+CB22+CB24+CB25+CB26+CB27+CB33</f>
        <v>2810000</v>
      </c>
      <c r="CC43" s="158">
        <f>CC6+CC8+CC12+CC17+CC22+CC24+CC25+CC26+CC27+CC33</f>
        <v>3273000</v>
      </c>
    </row>
    <row r="44" spans="1:81" s="41" customFormat="1" ht="13.5" customHeight="1" thickBot="1">
      <c r="A44" s="40"/>
      <c r="B44" s="23"/>
      <c r="C44" s="79"/>
      <c r="D44" s="37"/>
      <c r="E44" s="67">
        <f>E42+E43</f>
        <v>41523222.08</v>
      </c>
      <c r="F44" s="67">
        <f>F42+F43</f>
        <v>13454033.18</v>
      </c>
      <c r="G44" s="159">
        <f>G42+G43</f>
        <v>14958796.37</v>
      </c>
      <c r="H44" s="67">
        <f>H42+H43</f>
        <v>105906.81999999937</v>
      </c>
      <c r="I44" s="67">
        <f>I42+I43</f>
        <v>-87079.94000000025</v>
      </c>
      <c r="J44" s="398"/>
      <c r="K44" s="129"/>
      <c r="L44" s="165"/>
      <c r="N44" s="287"/>
      <c r="O44" s="515"/>
      <c r="P44" s="515"/>
      <c r="Q44" s="515"/>
      <c r="R44" s="515"/>
      <c r="S44" s="515"/>
      <c r="T44" s="537"/>
      <c r="U44" s="344"/>
      <c r="V44" s="344"/>
      <c r="W44" s="344"/>
      <c r="X44" s="344"/>
      <c r="Y44" s="344"/>
      <c r="Z44" s="344"/>
      <c r="AA44" s="344"/>
      <c r="AB44" s="344"/>
      <c r="AC44" s="431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344"/>
      <c r="AQ44" s="344"/>
      <c r="AR44" s="344"/>
      <c r="AS44" s="344"/>
      <c r="AT44" s="344"/>
      <c r="AU44" s="435"/>
      <c r="AV44" s="344"/>
      <c r="AW44" s="344"/>
      <c r="AX44" s="344"/>
      <c r="AY44" s="344"/>
      <c r="AZ44" s="344"/>
      <c r="BA44" s="344"/>
      <c r="BB44" s="344"/>
      <c r="BC44" s="344"/>
      <c r="BD44" s="431"/>
      <c r="BE44" s="431"/>
      <c r="BF44" s="431"/>
      <c r="BG44" s="431"/>
      <c r="BH44" s="431"/>
      <c r="BI44" s="431"/>
      <c r="BJ44" s="431"/>
      <c r="BK44" s="431"/>
      <c r="BL44" s="431"/>
      <c r="BM44" s="431"/>
      <c r="BN44" s="431"/>
      <c r="BO44" s="431"/>
      <c r="BP44" s="344"/>
      <c r="BQ44" s="344"/>
      <c r="BR44" s="344"/>
      <c r="BS44" s="344"/>
      <c r="BT44" s="344"/>
      <c r="BU44" s="344"/>
      <c r="BV44" s="159"/>
      <c r="BW44" s="159"/>
      <c r="BX44" s="159"/>
      <c r="BY44" s="159"/>
      <c r="BZ44" s="159"/>
      <c r="CA44" s="159"/>
      <c r="CB44" s="159"/>
      <c r="CC44" s="159"/>
    </row>
    <row r="45" spans="1:81" s="13" customFormat="1" ht="18" customHeight="1" thickBot="1">
      <c r="A45" s="727" t="s">
        <v>90</v>
      </c>
      <c r="B45" s="728"/>
      <c r="C45" s="80">
        <f>C5+C11+C14+C21+C23+C30+C31+C34</f>
        <v>13559940</v>
      </c>
      <c r="D45" s="36"/>
      <c r="E45" s="33">
        <f>E5+E11+E14+E21+E23+E30+E31+E34</f>
        <v>13365012.139999999</v>
      </c>
      <c r="F45" s="33">
        <f>F5+F11+F14+F21+F23+F30+F31+F34</f>
        <v>13454033.18</v>
      </c>
      <c r="G45" s="150">
        <f>G5+G11+G14+G21+G23+G30+G31+G34</f>
        <v>14930424.75</v>
      </c>
      <c r="H45" s="33">
        <f>H5+H11+H14+H21+H23+H30+H31+H34</f>
        <v>105906.81999999937</v>
      </c>
      <c r="I45" s="33">
        <f>I5+I11+I14+I21+I23+I30+I31+I34</f>
        <v>0</v>
      </c>
      <c r="J45" s="399"/>
      <c r="K45" s="189"/>
      <c r="L45" s="165"/>
      <c r="M45" s="190"/>
      <c r="N45" s="288"/>
      <c r="O45" s="516">
        <f aca="true" t="shared" si="76" ref="O45:AT45">O5+O9+O11+O21+O23+O32+O34</f>
        <v>3303700</v>
      </c>
      <c r="P45" s="516">
        <f t="shared" si="76"/>
        <v>7942450</v>
      </c>
      <c r="Q45" s="516">
        <f t="shared" si="76"/>
        <v>11702170</v>
      </c>
      <c r="R45" s="516">
        <f t="shared" si="76"/>
        <v>2111170</v>
      </c>
      <c r="S45" s="516">
        <f t="shared" si="76"/>
        <v>4064960</v>
      </c>
      <c r="T45" s="538">
        <f t="shared" si="76"/>
        <v>2222340</v>
      </c>
      <c r="U45" s="345">
        <f t="shared" si="76"/>
        <v>945025.8199999998</v>
      </c>
      <c r="V45" s="345">
        <f t="shared" si="76"/>
        <v>347118.67</v>
      </c>
      <c r="W45" s="345">
        <f t="shared" si="76"/>
        <v>310910.12</v>
      </c>
      <c r="X45" s="345">
        <f t="shared" si="76"/>
        <v>852358.2599999999</v>
      </c>
      <c r="Y45" s="345">
        <f t="shared" si="76"/>
        <v>1199934.48</v>
      </c>
      <c r="Z45" s="345">
        <f t="shared" si="76"/>
        <v>663206.13</v>
      </c>
      <c r="AA45" s="345">
        <f t="shared" si="76"/>
        <v>885327.5700000001</v>
      </c>
      <c r="AB45" s="345">
        <f t="shared" si="76"/>
        <v>405669.42000000004</v>
      </c>
      <c r="AC45" s="432">
        <f t="shared" si="76"/>
        <v>376078.23</v>
      </c>
      <c r="AD45" s="345">
        <f t="shared" si="76"/>
        <v>2682711.6500000004</v>
      </c>
      <c r="AE45" s="345">
        <f t="shared" si="76"/>
        <v>1952722.5699999996</v>
      </c>
      <c r="AF45" s="345">
        <f t="shared" si="76"/>
        <v>1350194.48</v>
      </c>
      <c r="AG45" s="345">
        <f t="shared" si="76"/>
        <v>902859.1499999999</v>
      </c>
      <c r="AH45" s="345">
        <f t="shared" si="76"/>
        <v>315505.74999999994</v>
      </c>
      <c r="AI45" s="345">
        <f t="shared" si="76"/>
        <v>1199922.8599999999</v>
      </c>
      <c r="AJ45" s="345">
        <f t="shared" si="76"/>
        <v>1038022.0499999999</v>
      </c>
      <c r="AK45" s="345">
        <f t="shared" si="76"/>
        <v>2036440.18</v>
      </c>
      <c r="AL45" s="345">
        <f t="shared" si="76"/>
        <v>405705.15</v>
      </c>
      <c r="AM45" s="345">
        <f t="shared" si="76"/>
        <v>985449.7200000001</v>
      </c>
      <c r="AN45" s="345">
        <f t="shared" si="76"/>
        <v>906038.55</v>
      </c>
      <c r="AO45" s="345">
        <f t="shared" si="76"/>
        <v>315505.74999999994</v>
      </c>
      <c r="AP45" s="345">
        <f t="shared" si="76"/>
        <v>2926330.92</v>
      </c>
      <c r="AQ45" s="345">
        <f t="shared" si="76"/>
        <v>3257984.48</v>
      </c>
      <c r="AR45" s="345">
        <f t="shared" si="76"/>
        <v>1921133.7599999998</v>
      </c>
      <c r="AS45" s="345">
        <f t="shared" si="76"/>
        <v>915691.6699999999</v>
      </c>
      <c r="AT45" s="345">
        <f t="shared" si="76"/>
        <v>891151.7000000001</v>
      </c>
      <c r="AU45" s="436">
        <f aca="true" t="shared" si="77" ref="AU45:BV45">AU5+AU9+AU11+AU21+AU23+AU32+AU34</f>
        <v>2036440.18</v>
      </c>
      <c r="AV45" s="345">
        <f t="shared" si="77"/>
        <v>959769.5399999999</v>
      </c>
      <c r="AW45" s="345">
        <f t="shared" si="77"/>
        <v>756997.95</v>
      </c>
      <c r="AX45" s="345">
        <f t="shared" si="77"/>
        <v>529965.61</v>
      </c>
      <c r="AY45" s="345">
        <f t="shared" si="77"/>
        <v>771605.6599999999</v>
      </c>
      <c r="AZ45" s="345">
        <f t="shared" si="77"/>
        <v>885868.3600000001</v>
      </c>
      <c r="BA45" s="345">
        <f t="shared" si="77"/>
        <v>1267217.2000000002</v>
      </c>
      <c r="BB45" s="345">
        <f t="shared" si="77"/>
        <v>2647066.869999999</v>
      </c>
      <c r="BC45" s="345">
        <f t="shared" si="77"/>
        <v>2534018.0100000002</v>
      </c>
      <c r="BD45" s="432">
        <f t="shared" si="77"/>
        <v>3833622.9899999998</v>
      </c>
      <c r="BE45" s="432">
        <f t="shared" si="77"/>
        <v>1076180.8199999998</v>
      </c>
      <c r="BF45" s="432">
        <f t="shared" si="77"/>
        <v>1348144.24</v>
      </c>
      <c r="BG45" s="432">
        <f t="shared" si="77"/>
        <v>756992.6100000001</v>
      </c>
      <c r="BH45" s="432">
        <f t="shared" si="77"/>
        <v>889682.2</v>
      </c>
      <c r="BI45" s="432">
        <f t="shared" si="77"/>
        <v>627453.3899999999</v>
      </c>
      <c r="BJ45" s="432">
        <f t="shared" si="77"/>
        <v>877084.58</v>
      </c>
      <c r="BK45" s="432">
        <f t="shared" si="77"/>
        <v>0</v>
      </c>
      <c r="BL45" s="432">
        <f t="shared" si="77"/>
        <v>0</v>
      </c>
      <c r="BM45" s="432">
        <f t="shared" si="77"/>
        <v>212364.05</v>
      </c>
      <c r="BN45" s="432">
        <f t="shared" si="77"/>
        <v>1965863.0200000003</v>
      </c>
      <c r="BO45" s="432">
        <f t="shared" si="77"/>
        <v>1975597.63</v>
      </c>
      <c r="BP45" s="345">
        <f t="shared" si="77"/>
        <v>1846441.24</v>
      </c>
      <c r="BQ45" s="345">
        <f t="shared" si="77"/>
        <v>10221972.459999999</v>
      </c>
      <c r="BR45" s="345">
        <f t="shared" si="77"/>
        <v>9720322.69</v>
      </c>
      <c r="BS45" s="345">
        <f t="shared" si="77"/>
        <v>8951392.469999999</v>
      </c>
      <c r="BT45" s="345">
        <f t="shared" si="77"/>
        <v>1981847.3100000005</v>
      </c>
      <c r="BU45" s="345">
        <f t="shared" si="77"/>
        <v>0</v>
      </c>
      <c r="BV45" s="150">
        <f t="shared" si="77"/>
        <v>2079269.020000001</v>
      </c>
      <c r="BW45" s="150"/>
      <c r="BX45" s="150"/>
      <c r="BY45" s="150"/>
      <c r="BZ45" s="150"/>
      <c r="CA45" s="150"/>
      <c r="CB45" s="150">
        <f>CB5+CB9+CB11+CB21+CB23+CB32+CB34</f>
        <v>43050</v>
      </c>
      <c r="CC45" s="150">
        <f>CC5+CC9+CC11+CC21+CC23+CC32+CC34</f>
        <v>976000</v>
      </c>
    </row>
    <row r="46" spans="1:81" s="26" customFormat="1" ht="42" customHeight="1">
      <c r="A46" s="729" t="s">
        <v>38</v>
      </c>
      <c r="B46" s="729"/>
      <c r="C46" s="729"/>
      <c r="D46" s="729"/>
      <c r="E46" s="729"/>
      <c r="F46" s="729"/>
      <c r="G46" s="729"/>
      <c r="H46" s="729"/>
      <c r="I46" s="729"/>
      <c r="J46" s="130"/>
      <c r="K46" s="130"/>
      <c r="L46" s="166"/>
      <c r="N46" s="96"/>
      <c r="O46" s="226"/>
      <c r="P46" s="220"/>
      <c r="Q46" s="541"/>
      <c r="R46" s="220"/>
      <c r="S46" s="220"/>
      <c r="T46" s="220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W46" s="408"/>
      <c r="BX46" s="415"/>
      <c r="BY46" s="467"/>
      <c r="BZ46" s="507"/>
      <c r="CA46" s="467"/>
      <c r="CB46" s="521"/>
      <c r="CC46" s="218"/>
    </row>
    <row r="47" ht="15.75">
      <c r="CA47" s="539">
        <v>43462</v>
      </c>
    </row>
  </sheetData>
  <sheetProtection/>
  <mergeCells count="22">
    <mergeCell ref="A11:A12"/>
    <mergeCell ref="A14:A16"/>
    <mergeCell ref="A3:D3"/>
    <mergeCell ref="A5:A6"/>
    <mergeCell ref="A7:B7"/>
    <mergeCell ref="A10:B10"/>
    <mergeCell ref="A28:B28"/>
    <mergeCell ref="A29:A31"/>
    <mergeCell ref="A32:B32"/>
    <mergeCell ref="A33:B33"/>
    <mergeCell ref="A18:B18"/>
    <mergeCell ref="A19:A20"/>
    <mergeCell ref="A21:B21"/>
    <mergeCell ref="A22:A27"/>
    <mergeCell ref="A45:B45"/>
    <mergeCell ref="A46:I46"/>
    <mergeCell ref="A34:B34"/>
    <mergeCell ref="A35:B35"/>
    <mergeCell ref="A38:B38"/>
    <mergeCell ref="A42:B42"/>
    <mergeCell ref="A36:B36"/>
    <mergeCell ref="A37:B37"/>
  </mergeCells>
  <printOptions/>
  <pageMargins left="0.64" right="0.2" top="0.24" bottom="0.23" header="0.2" footer="0.21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48"/>
  <sheetViews>
    <sheetView workbookViewId="0" topLeftCell="B4">
      <pane xSplit="10395" ySplit="1380" topLeftCell="BS31" activePane="bottomRight" state="split"/>
      <selection pane="topLeft" activeCell="T35" sqref="T35"/>
      <selection pane="topRight" activeCell="BK4" sqref="BK1:BM16384"/>
      <selection pane="bottomLeft" activeCell="T36" sqref="T36"/>
      <selection pane="bottomRight" activeCell="BS39" sqref="BS39"/>
    </sheetView>
  </sheetViews>
  <sheetFormatPr defaultColWidth="9.140625" defaultRowHeight="12.75"/>
  <cols>
    <col min="1" max="1" width="14.140625" style="18" customWidth="1"/>
    <col min="2" max="2" width="22.7109375" style="19" customWidth="1"/>
    <col min="3" max="3" width="13.8515625" style="74" hidden="1" customWidth="1"/>
    <col min="4" max="4" width="13.28125" style="9" hidden="1" customWidth="1"/>
    <col min="5" max="5" width="12.57421875" style="27" hidden="1" customWidth="1"/>
    <col min="6" max="6" width="12.8515625" style="27" hidden="1" customWidth="1"/>
    <col min="7" max="7" width="11.28125" style="127" hidden="1" customWidth="1"/>
    <col min="8" max="8" width="10.7109375" style="28" hidden="1" customWidth="1"/>
    <col min="9" max="9" width="10.8515625" style="28" hidden="1" customWidth="1"/>
    <col min="10" max="10" width="9.8515625" style="127" customWidth="1"/>
    <col min="11" max="11" width="11.7109375" style="127" hidden="1" customWidth="1"/>
    <col min="12" max="12" width="9.421875" style="161" hidden="1" customWidth="1"/>
    <col min="13" max="13" width="10.140625" style="10" hidden="1" customWidth="1"/>
    <col min="14" max="14" width="10.140625" style="28" hidden="1" customWidth="1"/>
    <col min="15" max="15" width="14.00390625" style="221" customWidth="1"/>
    <col min="16" max="16" width="12.7109375" style="219" hidden="1" customWidth="1"/>
    <col min="17" max="17" width="13.8515625" style="219" bestFit="1" customWidth="1"/>
    <col min="18" max="18" width="11.28125" style="219" customWidth="1"/>
    <col min="19" max="19" width="12.28125" style="219" customWidth="1"/>
    <col min="20" max="20" width="11.28125" style="219" bestFit="1" customWidth="1"/>
    <col min="21" max="21" width="12.7109375" style="27" hidden="1" customWidth="1"/>
    <col min="22" max="23" width="10.140625" style="27" hidden="1" customWidth="1"/>
    <col min="24" max="25" width="11.7109375" style="27" hidden="1" customWidth="1"/>
    <col min="26" max="26" width="10.140625" style="27" hidden="1" customWidth="1"/>
    <col min="27" max="27" width="11.7109375" style="27" hidden="1" customWidth="1"/>
    <col min="28" max="29" width="10.140625" style="27" hidden="1" customWidth="1"/>
    <col min="30" max="30" width="12.7109375" style="27" hidden="1" customWidth="1"/>
    <col min="31" max="33" width="11.7109375" style="27" hidden="1" customWidth="1"/>
    <col min="34" max="34" width="10.140625" style="27" hidden="1" customWidth="1"/>
    <col min="35" max="37" width="11.7109375" style="27" hidden="1" customWidth="1"/>
    <col min="38" max="38" width="10.140625" style="27" hidden="1" customWidth="1"/>
    <col min="39" max="39" width="11.7109375" style="27" hidden="1" customWidth="1"/>
    <col min="40" max="41" width="10.140625" style="27" hidden="1" customWidth="1"/>
    <col min="42" max="42" width="12.7109375" style="27" hidden="1" customWidth="1"/>
    <col min="43" max="45" width="11.7109375" style="27" hidden="1" customWidth="1"/>
    <col min="46" max="46" width="10.140625" style="27" hidden="1" customWidth="1"/>
    <col min="47" max="48" width="11.7109375" style="27" hidden="1" customWidth="1"/>
    <col min="49" max="50" width="10.140625" style="27" hidden="1" customWidth="1"/>
    <col min="51" max="51" width="11.7109375" style="27" hidden="1" customWidth="1"/>
    <col min="52" max="52" width="10.140625" style="27" hidden="1" customWidth="1"/>
    <col min="53" max="53" width="11.7109375" style="27" hidden="1" customWidth="1"/>
    <col min="54" max="54" width="12.7109375" style="27" hidden="1" customWidth="1"/>
    <col min="55" max="57" width="11.7109375" style="27" hidden="1" customWidth="1"/>
    <col min="58" max="58" width="12.28125" style="27" hidden="1" customWidth="1"/>
    <col min="59" max="59" width="10.140625" style="27" hidden="1" customWidth="1"/>
    <col min="60" max="60" width="11.7109375" style="27" customWidth="1"/>
    <col min="61" max="62" width="10.140625" style="27" bestFit="1" customWidth="1"/>
    <col min="63" max="63" width="9.140625" style="27" hidden="1" customWidth="1"/>
    <col min="64" max="64" width="8.00390625" style="27" hidden="1" customWidth="1"/>
    <col min="65" max="65" width="10.140625" style="27" hidden="1" customWidth="1"/>
    <col min="66" max="68" width="11.7109375" style="27" hidden="1" customWidth="1"/>
    <col min="69" max="69" width="12.7109375" style="10" bestFit="1" customWidth="1"/>
    <col min="70" max="71" width="11.7109375" style="10" bestFit="1" customWidth="1"/>
    <col min="72" max="72" width="12.8515625" style="10" bestFit="1" customWidth="1"/>
    <col min="73" max="73" width="13.57421875" style="10" customWidth="1"/>
    <col min="74" max="74" width="11.421875" style="10" customWidth="1"/>
    <col min="75" max="75" width="8.7109375" style="402" customWidth="1"/>
    <col min="76" max="76" width="10.57421875" style="161" hidden="1" customWidth="1"/>
    <col min="77" max="77" width="10.421875" style="427" hidden="1" customWidth="1"/>
    <col min="78" max="78" width="10.140625" style="9" hidden="1" customWidth="1"/>
    <col min="79" max="79" width="9.8515625" style="427" customWidth="1"/>
    <col min="80" max="80" width="10.28125" style="517" hidden="1" customWidth="1"/>
    <col min="81" max="16384" width="9.140625" style="10" customWidth="1"/>
  </cols>
  <sheetData>
    <row r="1" spans="1:12" ht="13.5" customHeight="1">
      <c r="A1" s="43" t="s">
        <v>1</v>
      </c>
      <c r="B1" s="43"/>
      <c r="C1" s="73"/>
      <c r="D1" s="44"/>
      <c r="L1" s="160"/>
    </row>
    <row r="2" ht="15.75" customHeight="1"/>
    <row r="3" spans="1:12" ht="15.75" customHeight="1" thickBot="1">
      <c r="A3" s="722" t="s">
        <v>66</v>
      </c>
      <c r="B3" s="722"/>
      <c r="C3" s="722"/>
      <c r="D3" s="722"/>
      <c r="L3" s="162"/>
    </row>
    <row r="4" spans="1:80" s="18" customFormat="1" ht="56.25" customHeight="1" thickBot="1">
      <c r="A4" s="20" t="s">
        <v>2</v>
      </c>
      <c r="B4" s="21" t="s">
        <v>3</v>
      </c>
      <c r="C4" s="135" t="s">
        <v>44</v>
      </c>
      <c r="D4" s="45" t="s">
        <v>40</v>
      </c>
      <c r="E4" s="112" t="s">
        <v>50</v>
      </c>
      <c r="F4" s="113" t="s">
        <v>51</v>
      </c>
      <c r="G4" s="144" t="s">
        <v>60</v>
      </c>
      <c r="H4" s="142" t="s">
        <v>48</v>
      </c>
      <c r="I4" s="290" t="s">
        <v>49</v>
      </c>
      <c r="J4" s="383" t="s">
        <v>88</v>
      </c>
      <c r="K4" s="339" t="s">
        <v>54</v>
      </c>
      <c r="L4" s="340" t="s">
        <v>42</v>
      </c>
      <c r="M4" s="341" t="s">
        <v>62</v>
      </c>
      <c r="N4" s="289" t="s">
        <v>69</v>
      </c>
      <c r="O4" s="337" t="s">
        <v>63</v>
      </c>
      <c r="P4" s="337" t="s">
        <v>64</v>
      </c>
      <c r="Q4" s="346" t="s">
        <v>93</v>
      </c>
      <c r="R4" s="375" t="s">
        <v>94</v>
      </c>
      <c r="S4" s="375" t="s">
        <v>95</v>
      </c>
      <c r="T4" s="346" t="s">
        <v>96</v>
      </c>
      <c r="U4" s="294" t="s">
        <v>70</v>
      </c>
      <c r="V4" s="295" t="s">
        <v>71</v>
      </c>
      <c r="W4" s="306" t="s">
        <v>72</v>
      </c>
      <c r="X4" s="294" t="s">
        <v>73</v>
      </c>
      <c r="Y4" s="295" t="s">
        <v>74</v>
      </c>
      <c r="Z4" s="296" t="s">
        <v>75</v>
      </c>
      <c r="AA4" s="294" t="s">
        <v>82</v>
      </c>
      <c r="AB4" s="295" t="s">
        <v>83</v>
      </c>
      <c r="AC4" s="306" t="s">
        <v>84</v>
      </c>
      <c r="AD4" s="445" t="s">
        <v>86</v>
      </c>
      <c r="AE4" s="446" t="s">
        <v>85</v>
      </c>
      <c r="AF4" s="447" t="s">
        <v>87</v>
      </c>
      <c r="AG4" s="441" t="s">
        <v>97</v>
      </c>
      <c r="AH4" s="442" t="s">
        <v>98</v>
      </c>
      <c r="AI4" s="444" t="s">
        <v>99</v>
      </c>
      <c r="AJ4" s="441" t="s">
        <v>100</v>
      </c>
      <c r="AK4" s="442" t="s">
        <v>101</v>
      </c>
      <c r="AL4" s="443" t="s">
        <v>102</v>
      </c>
      <c r="AM4" s="441" t="s">
        <v>103</v>
      </c>
      <c r="AN4" s="442" t="s">
        <v>104</v>
      </c>
      <c r="AO4" s="443" t="s">
        <v>105</v>
      </c>
      <c r="AP4" s="460" t="s">
        <v>106</v>
      </c>
      <c r="AQ4" s="461" t="s">
        <v>107</v>
      </c>
      <c r="AR4" s="481" t="s">
        <v>108</v>
      </c>
      <c r="AS4" s="441" t="s">
        <v>109</v>
      </c>
      <c r="AT4" s="443" t="s">
        <v>110</v>
      </c>
      <c r="AU4" s="501" t="s">
        <v>111</v>
      </c>
      <c r="AV4" s="441" t="s">
        <v>112</v>
      </c>
      <c r="AW4" s="442" t="s">
        <v>113</v>
      </c>
      <c r="AX4" s="443" t="s">
        <v>114</v>
      </c>
      <c r="AY4" s="441" t="s">
        <v>115</v>
      </c>
      <c r="AZ4" s="442" t="s">
        <v>116</v>
      </c>
      <c r="BA4" s="443" t="s">
        <v>117</v>
      </c>
      <c r="BB4" s="460" t="s">
        <v>118</v>
      </c>
      <c r="BC4" s="461" t="s">
        <v>119</v>
      </c>
      <c r="BD4" s="481" t="s">
        <v>120</v>
      </c>
      <c r="BE4" s="294" t="s">
        <v>126</v>
      </c>
      <c r="BF4" s="295" t="s">
        <v>127</v>
      </c>
      <c r="BG4" s="296" t="s">
        <v>128</v>
      </c>
      <c r="BH4" s="294" t="s">
        <v>129</v>
      </c>
      <c r="BI4" s="295" t="s">
        <v>130</v>
      </c>
      <c r="BJ4" s="296" t="s">
        <v>131</v>
      </c>
      <c r="BK4" s="294" t="s">
        <v>132</v>
      </c>
      <c r="BL4" s="295" t="s">
        <v>133</v>
      </c>
      <c r="BM4" s="296" t="s">
        <v>134</v>
      </c>
      <c r="BN4" s="524" t="s">
        <v>135</v>
      </c>
      <c r="BO4" s="525" t="s">
        <v>136</v>
      </c>
      <c r="BP4" s="526" t="s">
        <v>137</v>
      </c>
      <c r="BQ4" s="112" t="s">
        <v>142</v>
      </c>
      <c r="BR4" s="113" t="s">
        <v>143</v>
      </c>
      <c r="BS4" s="357" t="s">
        <v>144</v>
      </c>
      <c r="BT4" s="527" t="s">
        <v>79</v>
      </c>
      <c r="BU4" s="143" t="s">
        <v>80</v>
      </c>
      <c r="BV4" s="323" t="s">
        <v>145</v>
      </c>
      <c r="BW4" s="371" t="s">
        <v>69</v>
      </c>
      <c r="BX4" s="409" t="s">
        <v>92</v>
      </c>
      <c r="BY4" s="487" t="s">
        <v>123</v>
      </c>
      <c r="BZ4" s="528" t="s">
        <v>122</v>
      </c>
      <c r="CA4" s="540" t="s">
        <v>124</v>
      </c>
      <c r="CB4" s="531" t="s">
        <v>125</v>
      </c>
    </row>
    <row r="5" spans="1:80" s="1" customFormat="1" ht="18.75" customHeight="1">
      <c r="A5" s="716" t="s">
        <v>7</v>
      </c>
      <c r="B5" s="7" t="s">
        <v>4</v>
      </c>
      <c r="C5" s="81">
        <f>2843980+8400000+300000+300000</f>
        <v>11843980</v>
      </c>
      <c r="D5" s="48">
        <v>2085176</v>
      </c>
      <c r="E5" s="102">
        <v>11608682.78</v>
      </c>
      <c r="F5" s="103">
        <v>11742482.05</v>
      </c>
      <c r="G5" s="145">
        <v>13080765.34</v>
      </c>
      <c r="H5" s="136">
        <v>101497.94999999925</v>
      </c>
      <c r="I5" s="97"/>
      <c r="J5" s="384">
        <v>2219496.19</v>
      </c>
      <c r="K5" s="258">
        <v>967390.2316666666</v>
      </c>
      <c r="L5" s="176"/>
      <c r="M5" s="194"/>
      <c r="N5" s="291"/>
      <c r="O5" s="232">
        <v>2697650</v>
      </c>
      <c r="P5" s="242">
        <v>5525420</v>
      </c>
      <c r="Q5" s="249">
        <f>O5+R5+S5+T5</f>
        <v>8223070</v>
      </c>
      <c r="R5" s="242">
        <f>2900000-1500000</f>
        <v>1400000</v>
      </c>
      <c r="S5" s="242">
        <v>2625420</v>
      </c>
      <c r="T5" s="242">
        <f>1500000</f>
        <v>1500000</v>
      </c>
      <c r="U5" s="307">
        <v>810230.7</v>
      </c>
      <c r="V5" s="308">
        <v>292736.3</v>
      </c>
      <c r="W5" s="309">
        <v>82025.8</v>
      </c>
      <c r="X5" s="307">
        <v>709466.35</v>
      </c>
      <c r="Y5" s="308">
        <v>919177.87</v>
      </c>
      <c r="Z5" s="309">
        <v>538145.91</v>
      </c>
      <c r="AA5" s="307">
        <v>685852.31</v>
      </c>
      <c r="AB5" s="308">
        <v>282981.48</v>
      </c>
      <c r="AC5" s="309">
        <v>321695.86</v>
      </c>
      <c r="AD5" s="102">
        <f aca="true" t="shared" si="0" ref="AD5:AF6">U5+X5+AA5</f>
        <v>2205549.36</v>
      </c>
      <c r="AE5" s="103">
        <f t="shared" si="0"/>
        <v>1494895.65</v>
      </c>
      <c r="AF5" s="448">
        <f t="shared" si="0"/>
        <v>941867.5700000001</v>
      </c>
      <c r="AG5" s="327">
        <v>708392.2</v>
      </c>
      <c r="AH5" s="328">
        <v>182697.11</v>
      </c>
      <c r="AI5" s="334">
        <v>919177.99</v>
      </c>
      <c r="AJ5" s="327">
        <v>824493.56</v>
      </c>
      <c r="AK5" s="328">
        <v>1629743.62</v>
      </c>
      <c r="AL5" s="440">
        <v>283005.47</v>
      </c>
      <c r="AM5" s="327">
        <v>729864.23</v>
      </c>
      <c r="AN5" s="328">
        <v>743406.3</v>
      </c>
      <c r="AO5" s="440">
        <v>182697.11</v>
      </c>
      <c r="AP5" s="267">
        <f aca="true" t="shared" si="1" ref="AP5:AR6">AG5+AJ5+AM5</f>
        <v>2262749.99</v>
      </c>
      <c r="AQ5" s="268">
        <f t="shared" si="1"/>
        <v>2555847.0300000003</v>
      </c>
      <c r="AR5" s="482">
        <f t="shared" si="1"/>
        <v>1384880.5699999998</v>
      </c>
      <c r="AS5" s="327">
        <v>707415.07</v>
      </c>
      <c r="AT5" s="440">
        <v>369828.74</v>
      </c>
      <c r="AU5" s="502">
        <v>1629743.62</v>
      </c>
      <c r="AV5" s="327">
        <v>717364.83</v>
      </c>
      <c r="AW5" s="328">
        <v>655534.99</v>
      </c>
      <c r="AX5" s="440">
        <v>367334.24</v>
      </c>
      <c r="AY5" s="327">
        <v>557660.2</v>
      </c>
      <c r="AZ5" s="328">
        <v>714958.8</v>
      </c>
      <c r="BA5" s="440">
        <v>745900.8</v>
      </c>
      <c r="BB5" s="267">
        <f aca="true" t="shared" si="2" ref="BB5:BD6">AS5+AV5+AY5</f>
        <v>1982440.0999999999</v>
      </c>
      <c r="BC5" s="268">
        <f t="shared" si="2"/>
        <v>1740322.53</v>
      </c>
      <c r="BD5" s="462">
        <f t="shared" si="2"/>
        <v>2742978.66</v>
      </c>
      <c r="BE5" s="307">
        <v>756278.24</v>
      </c>
      <c r="BF5" s="308">
        <v>1013564.68</v>
      </c>
      <c r="BG5" s="310">
        <v>655534.18</v>
      </c>
      <c r="BH5" s="307">
        <v>597177</v>
      </c>
      <c r="BI5" s="308">
        <v>201504.74</v>
      </c>
      <c r="BJ5" s="310">
        <v>714959.61</v>
      </c>
      <c r="BK5" s="307"/>
      <c r="BL5" s="308"/>
      <c r="BM5" s="309"/>
      <c r="BN5" s="307">
        <f aca="true" t="shared" si="3" ref="BN5:BP6">BE5+BH5+BK5</f>
        <v>1353455.24</v>
      </c>
      <c r="BO5" s="308">
        <f t="shared" si="3"/>
        <v>1215069.42</v>
      </c>
      <c r="BP5" s="309">
        <f t="shared" si="3"/>
        <v>1370493.79</v>
      </c>
      <c r="BQ5" s="358">
        <f aca="true" t="shared" si="4" ref="BQ5:BS6">AD5+AP5+BB5+BN5</f>
        <v>7804194.6899999995</v>
      </c>
      <c r="BR5" s="359">
        <f t="shared" si="4"/>
        <v>7006134.63</v>
      </c>
      <c r="BS5" s="418">
        <f t="shared" si="4"/>
        <v>6440220.59</v>
      </c>
      <c r="BT5" s="484">
        <f>Q5-BR5</f>
        <v>1216935.37</v>
      </c>
      <c r="BU5" s="355"/>
      <c r="BV5" s="510">
        <f>J5+BR5-BQ5+36640.85-33969.85+6845.55</f>
        <v>1430952.6800000009</v>
      </c>
      <c r="BW5" s="403"/>
      <c r="BX5" s="468">
        <v>-1202754.35</v>
      </c>
      <c r="BY5" s="488">
        <f>BR5-BZ5</f>
        <v>283064.6299999999</v>
      </c>
      <c r="BZ5" s="529">
        <f aca="true" t="shared" si="5" ref="BZ5:BZ37">O5+R5+S5</f>
        <v>6723070</v>
      </c>
      <c r="CA5" s="133">
        <f aca="true" t="shared" si="6" ref="CA5:CA37">BQ5/11</f>
        <v>709472.2445454545</v>
      </c>
      <c r="CB5" s="475">
        <v>0</v>
      </c>
    </row>
    <row r="6" spans="1:80" s="1" customFormat="1" ht="18.75" customHeight="1" thickBot="1">
      <c r="A6" s="717"/>
      <c r="B6" s="22" t="s">
        <v>5</v>
      </c>
      <c r="C6" s="85">
        <f>2550000+7472360-300000</f>
        <v>9722360</v>
      </c>
      <c r="D6" s="52"/>
      <c r="E6" s="106">
        <v>9768801.15</v>
      </c>
      <c r="F6" s="107">
        <v>0</v>
      </c>
      <c r="G6" s="151">
        <v>0</v>
      </c>
      <c r="H6" s="139"/>
      <c r="I6" s="99">
        <v>-46441.15000000037</v>
      </c>
      <c r="J6" s="385"/>
      <c r="K6" s="257">
        <v>814066.7625000001</v>
      </c>
      <c r="L6" s="177">
        <v>84020</v>
      </c>
      <c r="M6" s="193"/>
      <c r="N6" s="291"/>
      <c r="O6" s="233">
        <v>2700000</v>
      </c>
      <c r="P6" s="243">
        <v>5000000</v>
      </c>
      <c r="Q6" s="249">
        <f>O6+R6+S6+T6</f>
        <v>9559010</v>
      </c>
      <c r="R6" s="243">
        <f>2500000-900000</f>
        <v>1600000</v>
      </c>
      <c r="S6" s="243">
        <v>2500000</v>
      </c>
      <c r="T6" s="243">
        <f>900000+683650+461770+213590+500000</f>
        <v>2759010</v>
      </c>
      <c r="U6" s="311">
        <v>888954.14</v>
      </c>
      <c r="V6" s="312"/>
      <c r="W6" s="313"/>
      <c r="X6" s="311">
        <v>796922.01</v>
      </c>
      <c r="Y6" s="312"/>
      <c r="Z6" s="313"/>
      <c r="AA6" s="311">
        <v>734838.36</v>
      </c>
      <c r="AB6" s="312"/>
      <c r="AC6" s="313"/>
      <c r="AD6" s="104">
        <f t="shared" si="0"/>
        <v>2420714.51</v>
      </c>
      <c r="AE6" s="105">
        <f t="shared" si="0"/>
        <v>0</v>
      </c>
      <c r="AF6" s="449">
        <f t="shared" si="0"/>
        <v>0</v>
      </c>
      <c r="AG6" s="311">
        <v>728992.05</v>
      </c>
      <c r="AH6" s="312"/>
      <c r="AI6" s="313"/>
      <c r="AJ6" s="311">
        <v>702372.62</v>
      </c>
      <c r="AK6" s="312"/>
      <c r="AL6" s="314"/>
      <c r="AM6" s="311">
        <v>841936.59</v>
      </c>
      <c r="AN6" s="312"/>
      <c r="AO6" s="314"/>
      <c r="AP6" s="267">
        <f t="shared" si="1"/>
        <v>2273301.26</v>
      </c>
      <c r="AQ6" s="268">
        <f t="shared" si="1"/>
        <v>0</v>
      </c>
      <c r="AR6" s="482">
        <f t="shared" si="1"/>
        <v>0</v>
      </c>
      <c r="AS6" s="311">
        <v>884536.39</v>
      </c>
      <c r="AT6" s="314"/>
      <c r="AU6" s="356"/>
      <c r="AV6" s="311">
        <v>842158.63</v>
      </c>
      <c r="AW6" s="312"/>
      <c r="AX6" s="314"/>
      <c r="AY6" s="311">
        <v>739618</v>
      </c>
      <c r="AZ6" s="312"/>
      <c r="BA6" s="314"/>
      <c r="BB6" s="267">
        <f t="shared" si="2"/>
        <v>2466313.02</v>
      </c>
      <c r="BC6" s="268">
        <f t="shared" si="2"/>
        <v>0</v>
      </c>
      <c r="BD6" s="462">
        <f t="shared" si="2"/>
        <v>0</v>
      </c>
      <c r="BE6" s="311">
        <v>824839.78</v>
      </c>
      <c r="BF6" s="312"/>
      <c r="BG6" s="314"/>
      <c r="BH6" s="311">
        <v>779590.34</v>
      </c>
      <c r="BI6" s="312"/>
      <c r="BJ6" s="314"/>
      <c r="BK6" s="311"/>
      <c r="BL6" s="312"/>
      <c r="BM6" s="313"/>
      <c r="BN6" s="311">
        <f t="shared" si="3"/>
        <v>1604430.12</v>
      </c>
      <c r="BO6" s="312">
        <f t="shared" si="3"/>
        <v>0</v>
      </c>
      <c r="BP6" s="313">
        <f t="shared" si="3"/>
        <v>0</v>
      </c>
      <c r="BQ6" s="360">
        <f t="shared" si="4"/>
        <v>8764758.91</v>
      </c>
      <c r="BR6" s="361">
        <f t="shared" si="4"/>
        <v>0</v>
      </c>
      <c r="BS6" s="419">
        <f t="shared" si="4"/>
        <v>0</v>
      </c>
      <c r="BT6" s="485"/>
      <c r="BU6" s="356">
        <f>Q6-BQ6</f>
        <v>794251.0899999999</v>
      </c>
      <c r="BV6" s="511"/>
      <c r="BW6" s="403"/>
      <c r="BX6" s="469">
        <v>-279285.49</v>
      </c>
      <c r="BY6" s="489">
        <f>BQ6-BZ6</f>
        <v>1964758.9100000001</v>
      </c>
      <c r="BZ6" s="529">
        <f t="shared" si="5"/>
        <v>6800000</v>
      </c>
      <c r="CA6" s="133">
        <f t="shared" si="6"/>
        <v>796796.2645454545</v>
      </c>
      <c r="CB6" s="475">
        <v>600000</v>
      </c>
    </row>
    <row r="7" spans="1:80" s="1" customFormat="1" ht="24" customHeight="1" thickBot="1">
      <c r="A7" s="719" t="s">
        <v>45</v>
      </c>
      <c r="B7" s="720"/>
      <c r="C7" s="84">
        <f aca="true" t="shared" si="7" ref="C7:I7">C5+C6</f>
        <v>21566340</v>
      </c>
      <c r="D7" s="285">
        <f t="shared" si="7"/>
        <v>2085176</v>
      </c>
      <c r="E7" s="285">
        <f t="shared" si="7"/>
        <v>21377483.93</v>
      </c>
      <c r="F7" s="285">
        <f t="shared" si="7"/>
        <v>11742482.05</v>
      </c>
      <c r="G7" s="285">
        <f t="shared" si="7"/>
        <v>13080765.34</v>
      </c>
      <c r="H7" s="285">
        <f t="shared" si="7"/>
        <v>101497.94999999925</v>
      </c>
      <c r="I7" s="285">
        <f t="shared" si="7"/>
        <v>-46441.15000000037</v>
      </c>
      <c r="J7" s="386"/>
      <c r="K7" s="285">
        <f>K5+K6</f>
        <v>1781456.9941666666</v>
      </c>
      <c r="L7" s="285">
        <f>L5+L6</f>
        <v>84020</v>
      </c>
      <c r="M7" s="286">
        <f>F5+E6+L6-C7</f>
        <v>28963.20000000298</v>
      </c>
      <c r="N7" s="292">
        <v>28963.2</v>
      </c>
      <c r="O7" s="492">
        <f aca="true" t="shared" si="8" ref="O7:AT7">O5+O6</f>
        <v>5397650</v>
      </c>
      <c r="P7" s="492">
        <f t="shared" si="8"/>
        <v>10525420</v>
      </c>
      <c r="Q7" s="491">
        <f t="shared" si="8"/>
        <v>17782080</v>
      </c>
      <c r="R7" s="347">
        <f t="shared" si="8"/>
        <v>3000000</v>
      </c>
      <c r="S7" s="347">
        <f t="shared" si="8"/>
        <v>5125420</v>
      </c>
      <c r="T7" s="347">
        <f t="shared" si="8"/>
        <v>4259010</v>
      </c>
      <c r="U7" s="364">
        <f t="shared" si="8"/>
        <v>1699184.8399999999</v>
      </c>
      <c r="V7" s="364">
        <f t="shared" si="8"/>
        <v>292736.3</v>
      </c>
      <c r="W7" s="364">
        <f t="shared" si="8"/>
        <v>82025.8</v>
      </c>
      <c r="X7" s="364">
        <f t="shared" si="8"/>
        <v>1506388.3599999999</v>
      </c>
      <c r="Y7" s="364">
        <f t="shared" si="8"/>
        <v>919177.87</v>
      </c>
      <c r="Z7" s="364">
        <f t="shared" si="8"/>
        <v>538145.91</v>
      </c>
      <c r="AA7" s="364">
        <f t="shared" si="8"/>
        <v>1420690.67</v>
      </c>
      <c r="AB7" s="364">
        <f t="shared" si="8"/>
        <v>282981.48</v>
      </c>
      <c r="AC7" s="422">
        <f t="shared" si="8"/>
        <v>321695.86</v>
      </c>
      <c r="AD7" s="450">
        <f t="shared" si="8"/>
        <v>4626263.869999999</v>
      </c>
      <c r="AE7" s="450">
        <f t="shared" si="8"/>
        <v>1494895.65</v>
      </c>
      <c r="AF7" s="451">
        <f t="shared" si="8"/>
        <v>941867.5700000001</v>
      </c>
      <c r="AG7" s="422">
        <f t="shared" si="8"/>
        <v>1437384.25</v>
      </c>
      <c r="AH7" s="422">
        <f t="shared" si="8"/>
        <v>182697.11</v>
      </c>
      <c r="AI7" s="422">
        <f t="shared" si="8"/>
        <v>919177.99</v>
      </c>
      <c r="AJ7" s="422">
        <f t="shared" si="8"/>
        <v>1526866.1800000002</v>
      </c>
      <c r="AK7" s="422">
        <f t="shared" si="8"/>
        <v>1629743.62</v>
      </c>
      <c r="AL7" s="422">
        <f t="shared" si="8"/>
        <v>283005.47</v>
      </c>
      <c r="AM7" s="422">
        <f t="shared" si="8"/>
        <v>1571800.8199999998</v>
      </c>
      <c r="AN7" s="422">
        <f t="shared" si="8"/>
        <v>743406.3</v>
      </c>
      <c r="AO7" s="364">
        <f t="shared" si="8"/>
        <v>182697.11</v>
      </c>
      <c r="AP7" s="451">
        <f t="shared" si="8"/>
        <v>4536051.25</v>
      </c>
      <c r="AQ7" s="451">
        <f t="shared" si="8"/>
        <v>2555847.0300000003</v>
      </c>
      <c r="AR7" s="450">
        <f t="shared" si="8"/>
        <v>1384880.5699999998</v>
      </c>
      <c r="AS7" s="422">
        <f t="shared" si="8"/>
        <v>1591951.46</v>
      </c>
      <c r="AT7" s="364">
        <f t="shared" si="8"/>
        <v>369828.74</v>
      </c>
      <c r="AU7" s="478">
        <f aca="true" t="shared" si="9" ref="AU7:BV7">AU5+AU6</f>
        <v>1629743.62</v>
      </c>
      <c r="AV7" s="422">
        <f t="shared" si="9"/>
        <v>1559523.46</v>
      </c>
      <c r="AW7" s="422">
        <f t="shared" si="9"/>
        <v>655534.99</v>
      </c>
      <c r="AX7" s="364">
        <f t="shared" si="9"/>
        <v>367334.24</v>
      </c>
      <c r="AY7" s="422">
        <f t="shared" si="9"/>
        <v>1297278.2</v>
      </c>
      <c r="AZ7" s="422">
        <f t="shared" si="9"/>
        <v>714958.8</v>
      </c>
      <c r="BA7" s="364">
        <f t="shared" si="9"/>
        <v>745900.8</v>
      </c>
      <c r="BB7" s="364">
        <f t="shared" si="9"/>
        <v>4448753.12</v>
      </c>
      <c r="BC7" s="364">
        <f t="shared" si="9"/>
        <v>1740322.53</v>
      </c>
      <c r="BD7" s="364">
        <f t="shared" si="9"/>
        <v>2742978.66</v>
      </c>
      <c r="BE7" s="364">
        <f t="shared" si="9"/>
        <v>1581118.02</v>
      </c>
      <c r="BF7" s="364">
        <f t="shared" si="9"/>
        <v>1013564.68</v>
      </c>
      <c r="BG7" s="364">
        <f t="shared" si="9"/>
        <v>655534.18</v>
      </c>
      <c r="BH7" s="364">
        <f t="shared" si="9"/>
        <v>1376767.3399999999</v>
      </c>
      <c r="BI7" s="364">
        <f t="shared" si="9"/>
        <v>201504.74</v>
      </c>
      <c r="BJ7" s="364">
        <f t="shared" si="9"/>
        <v>714959.61</v>
      </c>
      <c r="BK7" s="364">
        <f t="shared" si="9"/>
        <v>0</v>
      </c>
      <c r="BL7" s="364">
        <f t="shared" si="9"/>
        <v>0</v>
      </c>
      <c r="BM7" s="422">
        <f t="shared" si="9"/>
        <v>0</v>
      </c>
      <c r="BN7" s="422">
        <f t="shared" si="9"/>
        <v>2957885.3600000003</v>
      </c>
      <c r="BO7" s="422">
        <f t="shared" si="9"/>
        <v>1215069.42</v>
      </c>
      <c r="BP7" s="422">
        <f t="shared" si="9"/>
        <v>1370493.79</v>
      </c>
      <c r="BQ7" s="422">
        <f t="shared" si="9"/>
        <v>16568953.6</v>
      </c>
      <c r="BR7" s="422">
        <f t="shared" si="9"/>
        <v>7006134.63</v>
      </c>
      <c r="BS7" s="364">
        <f t="shared" si="9"/>
        <v>6440220.59</v>
      </c>
      <c r="BT7" s="410">
        <f t="shared" si="9"/>
        <v>1216935.37</v>
      </c>
      <c r="BU7" s="364">
        <f t="shared" si="9"/>
        <v>794251.0899999999</v>
      </c>
      <c r="BV7" s="474">
        <f t="shared" si="9"/>
        <v>1430952.6800000009</v>
      </c>
      <c r="BW7" s="404">
        <v>28963.2</v>
      </c>
      <c r="BX7" s="470">
        <v>-1482039.84</v>
      </c>
      <c r="BY7" s="470">
        <f>BY5+BY6+BW7</f>
        <v>2276786.74</v>
      </c>
      <c r="BZ7" s="529">
        <f t="shared" si="5"/>
        <v>13523070</v>
      </c>
      <c r="CA7" s="133">
        <f t="shared" si="6"/>
        <v>1506268.509090909</v>
      </c>
      <c r="CB7" s="412">
        <f>CB6+BW7</f>
        <v>628963.2</v>
      </c>
    </row>
    <row r="8" spans="1:80" s="1" customFormat="1" ht="18.75" customHeight="1">
      <c r="A8" s="115"/>
      <c r="B8" s="116" t="s">
        <v>33</v>
      </c>
      <c r="C8" s="117">
        <f>442840+4562790-2200000</f>
        <v>2805630</v>
      </c>
      <c r="D8" s="114"/>
      <c r="E8" s="274">
        <v>2212033.89</v>
      </c>
      <c r="F8" s="275">
        <v>0</v>
      </c>
      <c r="G8" s="276">
        <v>0</v>
      </c>
      <c r="H8" s="277">
        <v>593596.11</v>
      </c>
      <c r="I8" s="278">
        <v>593596.11</v>
      </c>
      <c r="J8" s="387"/>
      <c r="K8" s="280">
        <v>184336.1575</v>
      </c>
      <c r="L8" s="174"/>
      <c r="M8" s="281"/>
      <c r="N8" s="291"/>
      <c r="O8" s="493">
        <v>536410</v>
      </c>
      <c r="P8" s="494">
        <v>4476150</v>
      </c>
      <c r="Q8" s="495">
        <f>O8+R8+S8+T8</f>
        <v>2430000</v>
      </c>
      <c r="R8" s="372">
        <v>500000</v>
      </c>
      <c r="S8" s="372">
        <v>1500000</v>
      </c>
      <c r="T8" s="372">
        <f>2476150-2390000-192560</f>
        <v>-106410</v>
      </c>
      <c r="U8" s="311">
        <v>162607.56</v>
      </c>
      <c r="V8" s="312"/>
      <c r="W8" s="313"/>
      <c r="X8" s="311">
        <v>187155.56</v>
      </c>
      <c r="Y8" s="312"/>
      <c r="Z8" s="313"/>
      <c r="AA8" s="311">
        <v>183846.45</v>
      </c>
      <c r="AB8" s="312"/>
      <c r="AC8" s="313"/>
      <c r="AD8" s="104">
        <f aca="true" t="shared" si="10" ref="AD8:AF9">U8+X8+AA8</f>
        <v>533609.5700000001</v>
      </c>
      <c r="AE8" s="105">
        <f t="shared" si="10"/>
        <v>0</v>
      </c>
      <c r="AF8" s="449">
        <f t="shared" si="10"/>
        <v>0</v>
      </c>
      <c r="AG8" s="311">
        <v>245689.62</v>
      </c>
      <c r="AH8" s="312"/>
      <c r="AI8" s="313"/>
      <c r="AJ8" s="311">
        <v>267256.45</v>
      </c>
      <c r="AK8" s="312"/>
      <c r="AL8" s="314"/>
      <c r="AM8" s="311">
        <v>241326.97</v>
      </c>
      <c r="AN8" s="312"/>
      <c r="AO8" s="314"/>
      <c r="AP8" s="267">
        <f aca="true" t="shared" si="11" ref="AP8:AR9">AG8+AJ8+AM8</f>
        <v>754273.04</v>
      </c>
      <c r="AQ8" s="268">
        <f t="shared" si="11"/>
        <v>0</v>
      </c>
      <c r="AR8" s="482">
        <f t="shared" si="11"/>
        <v>0</v>
      </c>
      <c r="AS8" s="311">
        <v>207059.71</v>
      </c>
      <c r="AT8" s="314"/>
      <c r="AU8" s="356"/>
      <c r="AV8" s="311">
        <v>196141.73</v>
      </c>
      <c r="AW8" s="312"/>
      <c r="AX8" s="314"/>
      <c r="AY8" s="311">
        <v>170054.01</v>
      </c>
      <c r="AZ8" s="312"/>
      <c r="BA8" s="314"/>
      <c r="BB8" s="267">
        <f aca="true" t="shared" si="12" ref="BB8:BD9">AS8+AV8+AY8</f>
        <v>573255.45</v>
      </c>
      <c r="BC8" s="268">
        <f t="shared" si="12"/>
        <v>0</v>
      </c>
      <c r="BD8" s="462">
        <f t="shared" si="12"/>
        <v>0</v>
      </c>
      <c r="BE8" s="311">
        <v>184439.35</v>
      </c>
      <c r="BF8" s="312"/>
      <c r="BG8" s="314"/>
      <c r="BH8" s="311">
        <v>194710.91</v>
      </c>
      <c r="BI8" s="312"/>
      <c r="BJ8" s="314"/>
      <c r="BK8" s="311"/>
      <c r="BL8" s="312"/>
      <c r="BM8" s="313"/>
      <c r="BN8" s="311">
        <f aca="true" t="shared" si="13" ref="BN8:BP9">BE8+BH8+BK8</f>
        <v>379150.26</v>
      </c>
      <c r="BO8" s="312">
        <f t="shared" si="13"/>
        <v>0</v>
      </c>
      <c r="BP8" s="313">
        <f t="shared" si="13"/>
        <v>0</v>
      </c>
      <c r="BQ8" s="360">
        <f aca="true" t="shared" si="14" ref="BQ8:BS9">AD8+AP8+BB8+BN8</f>
        <v>2240288.3200000003</v>
      </c>
      <c r="BR8" s="361">
        <f t="shared" si="14"/>
        <v>0</v>
      </c>
      <c r="BS8" s="419">
        <f t="shared" si="14"/>
        <v>0</v>
      </c>
      <c r="BT8" s="485"/>
      <c r="BU8" s="356">
        <f>Q8-BQ8</f>
        <v>189711.6799999997</v>
      </c>
      <c r="BV8" s="32"/>
      <c r="BW8" s="403"/>
      <c r="BX8" s="469">
        <v>-2800.429999999935</v>
      </c>
      <c r="BY8" s="469">
        <f>BQ8-BZ8</f>
        <v>-296121.6799999997</v>
      </c>
      <c r="BZ8" s="529">
        <f t="shared" si="5"/>
        <v>2536410</v>
      </c>
      <c r="CA8" s="133">
        <f t="shared" si="6"/>
        <v>203662.57454545458</v>
      </c>
      <c r="CB8" s="475">
        <v>-190000</v>
      </c>
    </row>
    <row r="9" spans="1:80" s="1" customFormat="1" ht="18.75" customHeight="1" thickBot="1">
      <c r="A9" s="259"/>
      <c r="B9" s="273" t="s">
        <v>67</v>
      </c>
      <c r="C9" s="260"/>
      <c r="D9" s="261"/>
      <c r="E9" s="256"/>
      <c r="F9" s="262"/>
      <c r="G9" s="263"/>
      <c r="H9" s="264"/>
      <c r="I9" s="265"/>
      <c r="J9" s="388">
        <v>0</v>
      </c>
      <c r="K9" s="257"/>
      <c r="L9" s="266"/>
      <c r="M9" s="193"/>
      <c r="N9" s="291"/>
      <c r="O9" s="496">
        <v>165000</v>
      </c>
      <c r="P9" s="497">
        <v>1485000</v>
      </c>
      <c r="Q9" s="498">
        <f>O9+R9+S9+T9</f>
        <v>1714000</v>
      </c>
      <c r="R9" s="373">
        <f>500000-200000</f>
        <v>300000</v>
      </c>
      <c r="S9" s="373">
        <f>500000+6564000-6500000+500000</f>
        <v>1064000</v>
      </c>
      <c r="T9" s="373">
        <f>685000-500000</f>
        <v>185000</v>
      </c>
      <c r="U9" s="311">
        <v>0</v>
      </c>
      <c r="V9" s="312">
        <v>54382.37</v>
      </c>
      <c r="W9" s="313"/>
      <c r="X9" s="311">
        <v>13595.59</v>
      </c>
      <c r="Y9" s="312"/>
      <c r="Z9" s="313"/>
      <c r="AA9" s="311">
        <v>52660.56</v>
      </c>
      <c r="AB9" s="312">
        <v>38204.06</v>
      </c>
      <c r="AC9" s="313">
        <v>54382.37</v>
      </c>
      <c r="AD9" s="104">
        <f t="shared" si="10"/>
        <v>66256.15</v>
      </c>
      <c r="AE9" s="105">
        <f t="shared" si="10"/>
        <v>92586.43</v>
      </c>
      <c r="AF9" s="449">
        <f t="shared" si="10"/>
        <v>54382.37</v>
      </c>
      <c r="AG9" s="311">
        <v>52660.56</v>
      </c>
      <c r="AH9" s="312">
        <v>65395.24</v>
      </c>
      <c r="AI9" s="313"/>
      <c r="AJ9" s="311">
        <v>39064.97</v>
      </c>
      <c r="AK9" s="312">
        <v>159703.48</v>
      </c>
      <c r="AL9" s="314">
        <v>38204.06</v>
      </c>
      <c r="AM9" s="311">
        <v>120638.51</v>
      </c>
      <c r="AN9" s="312">
        <v>50938.75</v>
      </c>
      <c r="AO9" s="314">
        <v>65395.24</v>
      </c>
      <c r="AP9" s="267">
        <f t="shared" si="11"/>
        <v>212364.03999999998</v>
      </c>
      <c r="AQ9" s="268">
        <f t="shared" si="11"/>
        <v>276037.47</v>
      </c>
      <c r="AR9" s="482">
        <f t="shared" si="11"/>
        <v>103599.29999999999</v>
      </c>
      <c r="AS9" s="311">
        <v>40834.61</v>
      </c>
      <c r="AT9" s="314">
        <v>343145.29</v>
      </c>
      <c r="AU9" s="356">
        <v>159703.48</v>
      </c>
      <c r="AV9" s="311">
        <v>105416.78</v>
      </c>
      <c r="AW9" s="312"/>
      <c r="AX9" s="314">
        <v>50938.75</v>
      </c>
      <c r="AY9" s="311">
        <v>79899.58</v>
      </c>
      <c r="AZ9" s="312">
        <v>54382.37</v>
      </c>
      <c r="BA9" s="314">
        <v>343145.29</v>
      </c>
      <c r="BB9" s="267">
        <f t="shared" si="12"/>
        <v>226150.97000000003</v>
      </c>
      <c r="BC9" s="268">
        <f t="shared" si="12"/>
        <v>397527.66</v>
      </c>
      <c r="BD9" s="462">
        <f t="shared" si="12"/>
        <v>553787.52</v>
      </c>
      <c r="BE9" s="311">
        <v>141031.91</v>
      </c>
      <c r="BF9" s="312">
        <v>212364.05</v>
      </c>
      <c r="BG9" s="314"/>
      <c r="BH9" s="311">
        <v>146968.8</v>
      </c>
      <c r="BI9" s="312">
        <v>218415.52</v>
      </c>
      <c r="BJ9" s="314">
        <v>54382.37</v>
      </c>
      <c r="BK9" s="311"/>
      <c r="BL9" s="312"/>
      <c r="BM9" s="313">
        <v>212364.05</v>
      </c>
      <c r="BN9" s="311">
        <f t="shared" si="13"/>
        <v>288000.70999999996</v>
      </c>
      <c r="BO9" s="312">
        <f t="shared" si="13"/>
        <v>430779.56999999995</v>
      </c>
      <c r="BP9" s="313">
        <f t="shared" si="13"/>
        <v>266746.42</v>
      </c>
      <c r="BQ9" s="360">
        <f t="shared" si="14"/>
        <v>792771.8699999999</v>
      </c>
      <c r="BR9" s="361">
        <f t="shared" si="14"/>
        <v>1196931.13</v>
      </c>
      <c r="BS9" s="419">
        <f t="shared" si="14"/>
        <v>978515.6099999999</v>
      </c>
      <c r="BT9" s="485">
        <f>Q9-BR9</f>
        <v>517068.8700000001</v>
      </c>
      <c r="BU9" s="356"/>
      <c r="BV9" s="32">
        <f>J9+BR9-BQ9</f>
        <v>404159.26</v>
      </c>
      <c r="BW9" s="403"/>
      <c r="BX9" s="469">
        <v>-72413.57</v>
      </c>
      <c r="BY9" s="489">
        <f>BR9-BZ9</f>
        <v>-332068.8700000001</v>
      </c>
      <c r="BZ9" s="529">
        <f t="shared" si="5"/>
        <v>1529000</v>
      </c>
      <c r="CA9" s="133">
        <f t="shared" si="6"/>
        <v>72070.16999999998</v>
      </c>
      <c r="CB9" s="475"/>
    </row>
    <row r="10" spans="1:80" s="1" customFormat="1" ht="23.25" customHeight="1" thickBot="1">
      <c r="A10" s="719" t="s">
        <v>68</v>
      </c>
      <c r="B10" s="720"/>
      <c r="C10" s="84">
        <f aca="true" t="shared" si="15" ref="C10:I10">C8+C9</f>
        <v>2805630</v>
      </c>
      <c r="D10" s="285">
        <f t="shared" si="15"/>
        <v>0</v>
      </c>
      <c r="E10" s="285">
        <f t="shared" si="15"/>
        <v>2212033.89</v>
      </c>
      <c r="F10" s="285">
        <f t="shared" si="15"/>
        <v>0</v>
      </c>
      <c r="G10" s="285">
        <f t="shared" si="15"/>
        <v>0</v>
      </c>
      <c r="H10" s="285">
        <f t="shared" si="15"/>
        <v>593596.11</v>
      </c>
      <c r="I10" s="285">
        <f t="shared" si="15"/>
        <v>593596.11</v>
      </c>
      <c r="J10" s="386"/>
      <c r="K10" s="285">
        <f>K8+K9</f>
        <v>184336.1575</v>
      </c>
      <c r="L10" s="285">
        <f>L8+L9</f>
        <v>0</v>
      </c>
      <c r="M10" s="285">
        <f>M8+M9</f>
        <v>0</v>
      </c>
      <c r="N10" s="291"/>
      <c r="O10" s="285">
        <f aca="true" t="shared" si="16" ref="O10:AT10">O8+O9</f>
        <v>701410</v>
      </c>
      <c r="P10" s="285">
        <f t="shared" si="16"/>
        <v>5961150</v>
      </c>
      <c r="Q10" s="376">
        <f t="shared" si="16"/>
        <v>4144000</v>
      </c>
      <c r="R10" s="347">
        <f t="shared" si="16"/>
        <v>800000</v>
      </c>
      <c r="S10" s="347">
        <f t="shared" si="16"/>
        <v>2564000</v>
      </c>
      <c r="T10" s="347">
        <f t="shared" si="16"/>
        <v>78590</v>
      </c>
      <c r="U10" s="364">
        <f t="shared" si="16"/>
        <v>162607.56</v>
      </c>
      <c r="V10" s="364">
        <f t="shared" si="16"/>
        <v>54382.37</v>
      </c>
      <c r="W10" s="364">
        <f t="shared" si="16"/>
        <v>0</v>
      </c>
      <c r="X10" s="364">
        <f t="shared" si="16"/>
        <v>200751.15</v>
      </c>
      <c r="Y10" s="364">
        <f t="shared" si="16"/>
        <v>0</v>
      </c>
      <c r="Z10" s="364">
        <f t="shared" si="16"/>
        <v>0</v>
      </c>
      <c r="AA10" s="364">
        <f t="shared" si="16"/>
        <v>236507.01</v>
      </c>
      <c r="AB10" s="364">
        <f t="shared" si="16"/>
        <v>38204.06</v>
      </c>
      <c r="AC10" s="422">
        <f t="shared" si="16"/>
        <v>54382.37</v>
      </c>
      <c r="AD10" s="450">
        <f t="shared" si="16"/>
        <v>599865.7200000001</v>
      </c>
      <c r="AE10" s="450">
        <f t="shared" si="16"/>
        <v>92586.43</v>
      </c>
      <c r="AF10" s="451">
        <f t="shared" si="16"/>
        <v>54382.37</v>
      </c>
      <c r="AG10" s="422">
        <f t="shared" si="16"/>
        <v>298350.18</v>
      </c>
      <c r="AH10" s="422">
        <f t="shared" si="16"/>
        <v>65395.24</v>
      </c>
      <c r="AI10" s="422">
        <f t="shared" si="16"/>
        <v>0</v>
      </c>
      <c r="AJ10" s="422">
        <f t="shared" si="16"/>
        <v>306321.42000000004</v>
      </c>
      <c r="AK10" s="422">
        <f t="shared" si="16"/>
        <v>159703.48</v>
      </c>
      <c r="AL10" s="422">
        <f t="shared" si="16"/>
        <v>38204.06</v>
      </c>
      <c r="AM10" s="422">
        <f t="shared" si="16"/>
        <v>361965.48</v>
      </c>
      <c r="AN10" s="422">
        <f t="shared" si="16"/>
        <v>50938.75</v>
      </c>
      <c r="AO10" s="364">
        <f t="shared" si="16"/>
        <v>65395.24</v>
      </c>
      <c r="AP10" s="451">
        <f t="shared" si="16"/>
        <v>966637.0800000001</v>
      </c>
      <c r="AQ10" s="451">
        <f t="shared" si="16"/>
        <v>276037.47</v>
      </c>
      <c r="AR10" s="450">
        <f t="shared" si="16"/>
        <v>103599.29999999999</v>
      </c>
      <c r="AS10" s="422">
        <f t="shared" si="16"/>
        <v>247894.32</v>
      </c>
      <c r="AT10" s="364">
        <f t="shared" si="16"/>
        <v>343145.29</v>
      </c>
      <c r="AU10" s="478">
        <f aca="true" t="shared" si="17" ref="AU10:BV10">AU8+AU9</f>
        <v>159703.48</v>
      </c>
      <c r="AV10" s="422">
        <f t="shared" si="17"/>
        <v>301558.51</v>
      </c>
      <c r="AW10" s="422">
        <f t="shared" si="17"/>
        <v>0</v>
      </c>
      <c r="AX10" s="364">
        <f t="shared" si="17"/>
        <v>50938.75</v>
      </c>
      <c r="AY10" s="422">
        <f t="shared" si="17"/>
        <v>249953.59000000003</v>
      </c>
      <c r="AZ10" s="422">
        <f t="shared" si="17"/>
        <v>54382.37</v>
      </c>
      <c r="BA10" s="364">
        <f t="shared" si="17"/>
        <v>343145.29</v>
      </c>
      <c r="BB10" s="364">
        <f t="shared" si="17"/>
        <v>799406.4199999999</v>
      </c>
      <c r="BC10" s="364">
        <f t="shared" si="17"/>
        <v>397527.66</v>
      </c>
      <c r="BD10" s="364">
        <f t="shared" si="17"/>
        <v>553787.52</v>
      </c>
      <c r="BE10" s="364">
        <f t="shared" si="17"/>
        <v>325471.26</v>
      </c>
      <c r="BF10" s="364">
        <f t="shared" si="17"/>
        <v>212364.05</v>
      </c>
      <c r="BG10" s="364">
        <f t="shared" si="17"/>
        <v>0</v>
      </c>
      <c r="BH10" s="364">
        <f t="shared" si="17"/>
        <v>341679.70999999996</v>
      </c>
      <c r="BI10" s="364">
        <f t="shared" si="17"/>
        <v>218415.52</v>
      </c>
      <c r="BJ10" s="364">
        <f t="shared" si="17"/>
        <v>54382.37</v>
      </c>
      <c r="BK10" s="364">
        <f t="shared" si="17"/>
        <v>0</v>
      </c>
      <c r="BL10" s="364">
        <f t="shared" si="17"/>
        <v>0</v>
      </c>
      <c r="BM10" s="422">
        <f t="shared" si="17"/>
        <v>212364.05</v>
      </c>
      <c r="BN10" s="422">
        <f t="shared" si="17"/>
        <v>667150.97</v>
      </c>
      <c r="BO10" s="422">
        <f t="shared" si="17"/>
        <v>430779.56999999995</v>
      </c>
      <c r="BP10" s="422">
        <f t="shared" si="17"/>
        <v>266746.42</v>
      </c>
      <c r="BQ10" s="422">
        <f t="shared" si="17"/>
        <v>3033060.1900000004</v>
      </c>
      <c r="BR10" s="422">
        <f t="shared" si="17"/>
        <v>1196931.13</v>
      </c>
      <c r="BS10" s="364">
        <f t="shared" si="17"/>
        <v>978515.6099999999</v>
      </c>
      <c r="BT10" s="410">
        <f t="shared" si="17"/>
        <v>517068.8700000001</v>
      </c>
      <c r="BU10" s="364">
        <f t="shared" si="17"/>
        <v>189711.6799999997</v>
      </c>
      <c r="BV10" s="364">
        <f t="shared" si="17"/>
        <v>404159.26</v>
      </c>
      <c r="BW10" s="403"/>
      <c r="BX10" s="470">
        <v>-75213.99999999994</v>
      </c>
      <c r="BY10" s="470">
        <f>BY8+BY9</f>
        <v>-628190.5499999998</v>
      </c>
      <c r="BZ10" s="529">
        <f t="shared" si="5"/>
        <v>4065410</v>
      </c>
      <c r="CA10" s="133">
        <f t="shared" si="6"/>
        <v>275732.74454545457</v>
      </c>
      <c r="CB10" s="475"/>
    </row>
    <row r="11" spans="1:80" s="1" customFormat="1" ht="18" customHeight="1">
      <c r="A11" s="716" t="s">
        <v>6</v>
      </c>
      <c r="B11" s="7" t="s">
        <v>4</v>
      </c>
      <c r="C11" s="81">
        <f>6000+17500</f>
        <v>23500</v>
      </c>
      <c r="D11" s="51">
        <v>20243.91</v>
      </c>
      <c r="E11" s="267">
        <v>34358.02</v>
      </c>
      <c r="F11" s="268">
        <v>23242.04</v>
      </c>
      <c r="G11" s="269">
        <v>26251.96</v>
      </c>
      <c r="H11" s="270">
        <v>257.9599999999991</v>
      </c>
      <c r="I11" s="271"/>
      <c r="J11" s="384">
        <v>8468.13</v>
      </c>
      <c r="K11" s="258">
        <v>2863.1683333333335</v>
      </c>
      <c r="L11" s="176"/>
      <c r="M11" s="194"/>
      <c r="N11" s="291"/>
      <c r="O11" s="232">
        <v>4500</v>
      </c>
      <c r="P11" s="242">
        <v>19220</v>
      </c>
      <c r="Q11" s="249">
        <f>O11+R11+S11+T11</f>
        <v>23720</v>
      </c>
      <c r="R11" s="242">
        <v>6600</v>
      </c>
      <c r="S11" s="242">
        <v>12620</v>
      </c>
      <c r="T11" s="242">
        <v>0</v>
      </c>
      <c r="U11" s="311">
        <v>2818.54</v>
      </c>
      <c r="V11" s="312"/>
      <c r="W11" s="313">
        <v>3494.03</v>
      </c>
      <c r="X11" s="311">
        <v>1428.82</v>
      </c>
      <c r="Y11" s="312"/>
      <c r="Z11" s="313"/>
      <c r="AA11" s="311">
        <v>1259.76</v>
      </c>
      <c r="AB11" s="312">
        <v>2740.88</v>
      </c>
      <c r="AC11" s="313"/>
      <c r="AD11" s="104">
        <f aca="true" t="shared" si="18" ref="AD11:AF12">U11+X11+AA11</f>
        <v>5507.12</v>
      </c>
      <c r="AE11" s="105">
        <f t="shared" si="18"/>
        <v>2740.88</v>
      </c>
      <c r="AF11" s="449">
        <f t="shared" si="18"/>
        <v>3494.03</v>
      </c>
      <c r="AG11" s="311">
        <v>1764.83</v>
      </c>
      <c r="AH11" s="312"/>
      <c r="AI11" s="313"/>
      <c r="AJ11" s="311">
        <v>1067.32</v>
      </c>
      <c r="AK11" s="312"/>
      <c r="AL11" s="314">
        <v>2740.88</v>
      </c>
      <c r="AM11" s="311">
        <v>1716.39</v>
      </c>
      <c r="AN11" s="312">
        <v>5968.63</v>
      </c>
      <c r="AO11" s="314"/>
      <c r="AP11" s="267">
        <f aca="true" t="shared" si="19" ref="AP11:AR12">AG11+AJ11+AM11</f>
        <v>4548.54</v>
      </c>
      <c r="AQ11" s="268">
        <f t="shared" si="19"/>
        <v>5968.63</v>
      </c>
      <c r="AR11" s="482">
        <f t="shared" si="19"/>
        <v>2740.88</v>
      </c>
      <c r="AS11" s="311">
        <v>3928.98</v>
      </c>
      <c r="AT11" s="314"/>
      <c r="AU11" s="356"/>
      <c r="AV11" s="311">
        <v>1422</v>
      </c>
      <c r="AW11" s="312">
        <v>5988.38</v>
      </c>
      <c r="AX11" s="314">
        <v>5968.63</v>
      </c>
      <c r="AY11" s="311">
        <v>3376.38</v>
      </c>
      <c r="AZ11" s="312"/>
      <c r="BA11" s="314"/>
      <c r="BB11" s="267">
        <f aca="true" t="shared" si="20" ref="BB11:BD12">AS11+AV11+AY11</f>
        <v>8727.36</v>
      </c>
      <c r="BC11" s="268">
        <f t="shared" si="20"/>
        <v>5988.38</v>
      </c>
      <c r="BD11" s="462">
        <f t="shared" si="20"/>
        <v>5968.63</v>
      </c>
      <c r="BE11" s="311">
        <v>3939.38</v>
      </c>
      <c r="BF11" s="312">
        <v>5436.55</v>
      </c>
      <c r="BG11" s="314">
        <v>5988.38</v>
      </c>
      <c r="BH11" s="311">
        <v>3084.45</v>
      </c>
      <c r="BI11" s="312"/>
      <c r="BJ11" s="314"/>
      <c r="BK11" s="311"/>
      <c r="BL11" s="312"/>
      <c r="BM11" s="313"/>
      <c r="BN11" s="311">
        <f aca="true" t="shared" si="21" ref="BN11:BP12">BE11+BH11+BK11</f>
        <v>7023.83</v>
      </c>
      <c r="BO11" s="312">
        <f t="shared" si="21"/>
        <v>5436.55</v>
      </c>
      <c r="BP11" s="313">
        <f t="shared" si="21"/>
        <v>5988.38</v>
      </c>
      <c r="BQ11" s="360">
        <f aca="true" t="shared" si="22" ref="BQ11:BS12">AD11+AP11+BB11+BN11</f>
        <v>25806.85</v>
      </c>
      <c r="BR11" s="361">
        <f t="shared" si="22"/>
        <v>20134.44</v>
      </c>
      <c r="BS11" s="419">
        <f t="shared" si="22"/>
        <v>18191.920000000002</v>
      </c>
      <c r="BT11" s="485">
        <f>Q11-BR11</f>
        <v>3585.5600000000013</v>
      </c>
      <c r="BU11" s="356"/>
      <c r="BV11" s="32">
        <f>J11+BR11-BQ11</f>
        <v>2795.720000000001</v>
      </c>
      <c r="BW11" s="403"/>
      <c r="BX11" s="469">
        <v>-1759.12</v>
      </c>
      <c r="BY11" s="489">
        <f>BR11-BZ11</f>
        <v>-3585.5600000000013</v>
      </c>
      <c r="BZ11" s="529">
        <f t="shared" si="5"/>
        <v>23720</v>
      </c>
      <c r="CA11" s="133">
        <f t="shared" si="6"/>
        <v>2346.0772727272724</v>
      </c>
      <c r="CB11" s="475">
        <v>0</v>
      </c>
    </row>
    <row r="12" spans="1:80" s="1" customFormat="1" ht="18" customHeight="1" thickBot="1">
      <c r="A12" s="717"/>
      <c r="B12" s="22" t="s">
        <v>5</v>
      </c>
      <c r="C12" s="85">
        <f>2694650+6756950+537830+1774580+1865280+1000000</f>
        <v>14629290</v>
      </c>
      <c r="D12" s="52"/>
      <c r="E12" s="104">
        <v>14694891.51</v>
      </c>
      <c r="F12" s="105">
        <v>0</v>
      </c>
      <c r="G12" s="146">
        <v>0</v>
      </c>
      <c r="H12" s="137"/>
      <c r="I12" s="98">
        <v>-65601.50999999978</v>
      </c>
      <c r="J12" s="389"/>
      <c r="K12" s="133">
        <v>1224574.2925</v>
      </c>
      <c r="L12" s="177">
        <v>88070</v>
      </c>
      <c r="M12" s="193"/>
      <c r="N12" s="291"/>
      <c r="O12" s="233">
        <f>3621090+424410</f>
        <v>4045500</v>
      </c>
      <c r="P12" s="243">
        <f>5963000-424410</f>
        <v>5538590</v>
      </c>
      <c r="Q12" s="250">
        <f>O12+R12+S12+T12</f>
        <v>22287600</v>
      </c>
      <c r="R12" s="243">
        <f>4043400+1200000</f>
        <v>5243400</v>
      </c>
      <c r="S12" s="243">
        <f>295190+5010000+385420</f>
        <v>5690610</v>
      </c>
      <c r="T12" s="243">
        <f>1650000+1755330+245750+1097010+2560000</f>
        <v>7308090</v>
      </c>
      <c r="U12" s="311">
        <v>1653934.51</v>
      </c>
      <c r="V12" s="312"/>
      <c r="W12" s="313"/>
      <c r="X12" s="311">
        <v>1528790.96</v>
      </c>
      <c r="Y12" s="312"/>
      <c r="Z12" s="313"/>
      <c r="AA12" s="311">
        <v>1579529.4</v>
      </c>
      <c r="AB12" s="312"/>
      <c r="AC12" s="313"/>
      <c r="AD12" s="104">
        <f t="shared" si="18"/>
        <v>4762254.869999999</v>
      </c>
      <c r="AE12" s="105">
        <f t="shared" si="18"/>
        <v>0</v>
      </c>
      <c r="AF12" s="449">
        <f t="shared" si="18"/>
        <v>0</v>
      </c>
      <c r="AG12" s="311">
        <v>1753408.26</v>
      </c>
      <c r="AH12" s="312"/>
      <c r="AI12" s="313"/>
      <c r="AJ12" s="311">
        <v>1833817.77</v>
      </c>
      <c r="AK12" s="312"/>
      <c r="AL12" s="314"/>
      <c r="AM12" s="311">
        <v>1807409.52</v>
      </c>
      <c r="AN12" s="312"/>
      <c r="AO12" s="314"/>
      <c r="AP12" s="267">
        <f t="shared" si="19"/>
        <v>5394635.550000001</v>
      </c>
      <c r="AQ12" s="268">
        <f t="shared" si="19"/>
        <v>0</v>
      </c>
      <c r="AR12" s="482">
        <f t="shared" si="19"/>
        <v>0</v>
      </c>
      <c r="AS12" s="311">
        <v>1962631.06</v>
      </c>
      <c r="AT12" s="314"/>
      <c r="AU12" s="356"/>
      <c r="AV12" s="311">
        <v>1907736.58</v>
      </c>
      <c r="AW12" s="312"/>
      <c r="AX12" s="314"/>
      <c r="AY12" s="311">
        <v>1934810.24</v>
      </c>
      <c r="AZ12" s="312"/>
      <c r="BA12" s="314"/>
      <c r="BB12" s="267">
        <f t="shared" si="20"/>
        <v>5805177.88</v>
      </c>
      <c r="BC12" s="268">
        <f t="shared" si="20"/>
        <v>0</v>
      </c>
      <c r="BD12" s="462">
        <f t="shared" si="20"/>
        <v>0</v>
      </c>
      <c r="BE12" s="311">
        <v>2072348.09</v>
      </c>
      <c r="BF12" s="312"/>
      <c r="BG12" s="314"/>
      <c r="BH12" s="311">
        <v>2152367.78</v>
      </c>
      <c r="BI12" s="312"/>
      <c r="BJ12" s="314"/>
      <c r="BK12" s="311"/>
      <c r="BL12" s="312"/>
      <c r="BM12" s="313"/>
      <c r="BN12" s="311">
        <f t="shared" si="21"/>
        <v>4224715.87</v>
      </c>
      <c r="BO12" s="312">
        <f t="shared" si="21"/>
        <v>0</v>
      </c>
      <c r="BP12" s="313">
        <f t="shared" si="21"/>
        <v>0</v>
      </c>
      <c r="BQ12" s="360">
        <f t="shared" si="22"/>
        <v>20186784.17</v>
      </c>
      <c r="BR12" s="361">
        <f t="shared" si="22"/>
        <v>0</v>
      </c>
      <c r="BS12" s="419">
        <f t="shared" si="22"/>
        <v>0</v>
      </c>
      <c r="BT12" s="485"/>
      <c r="BU12" s="356">
        <f>Q12-BQ12</f>
        <v>2100815.829999998</v>
      </c>
      <c r="BV12" s="32"/>
      <c r="BW12" s="403"/>
      <c r="BX12" s="469">
        <v>716754.8699999992</v>
      </c>
      <c r="BY12" s="489">
        <f>BQ12-BZ12</f>
        <v>5207274.170000002</v>
      </c>
      <c r="BZ12" s="529">
        <f t="shared" si="5"/>
        <v>14979510</v>
      </c>
      <c r="CA12" s="133">
        <f t="shared" si="6"/>
        <v>1835162.1972727275</v>
      </c>
      <c r="CB12" s="475">
        <v>2300000</v>
      </c>
    </row>
    <row r="13" spans="1:80" s="1" customFormat="1" ht="22.5" customHeight="1" thickBot="1">
      <c r="A13" s="3" t="s">
        <v>8</v>
      </c>
      <c r="B13" s="5" t="s">
        <v>9</v>
      </c>
      <c r="C13" s="84">
        <f>C11+C12</f>
        <v>14652790</v>
      </c>
      <c r="D13" s="33"/>
      <c r="E13" s="70">
        <v>14729249.53</v>
      </c>
      <c r="F13" s="70">
        <v>23242.04</v>
      </c>
      <c r="G13" s="148">
        <v>26251.96</v>
      </c>
      <c r="H13" s="62">
        <v>257.9599999999991</v>
      </c>
      <c r="I13" s="65">
        <v>-65601.50999999978</v>
      </c>
      <c r="J13" s="390"/>
      <c r="K13" s="133">
        <v>1227437.4608333332</v>
      </c>
      <c r="L13" s="175">
        <v>88070</v>
      </c>
      <c r="M13" s="195">
        <v>153413.54999999888</v>
      </c>
      <c r="N13" s="292">
        <v>153413.55</v>
      </c>
      <c r="O13" s="231">
        <f>O11+O12</f>
        <v>4050000</v>
      </c>
      <c r="P13" s="231">
        <f>P11+P12</f>
        <v>5557810</v>
      </c>
      <c r="Q13" s="378">
        <f>O13+R13+S13+T13</f>
        <v>22311320</v>
      </c>
      <c r="R13" s="348">
        <f aca="true" t="shared" si="23" ref="R13:AW13">R11+R12</f>
        <v>5250000</v>
      </c>
      <c r="S13" s="348">
        <f t="shared" si="23"/>
        <v>5703230</v>
      </c>
      <c r="T13" s="348">
        <f t="shared" si="23"/>
        <v>7308090</v>
      </c>
      <c r="U13" s="365">
        <f t="shared" si="23"/>
        <v>1656753.05</v>
      </c>
      <c r="V13" s="365">
        <f t="shared" si="23"/>
        <v>0</v>
      </c>
      <c r="W13" s="365">
        <f t="shared" si="23"/>
        <v>3494.03</v>
      </c>
      <c r="X13" s="365">
        <f t="shared" si="23"/>
        <v>1530219.78</v>
      </c>
      <c r="Y13" s="365">
        <f t="shared" si="23"/>
        <v>0</v>
      </c>
      <c r="Z13" s="365">
        <f t="shared" si="23"/>
        <v>0</v>
      </c>
      <c r="AA13" s="365">
        <f t="shared" si="23"/>
        <v>1580789.16</v>
      </c>
      <c r="AB13" s="365">
        <f t="shared" si="23"/>
        <v>2740.88</v>
      </c>
      <c r="AC13" s="423">
        <f t="shared" si="23"/>
        <v>0</v>
      </c>
      <c r="AD13" s="421">
        <f t="shared" si="23"/>
        <v>4767761.989999999</v>
      </c>
      <c r="AE13" s="421">
        <f t="shared" si="23"/>
        <v>2740.88</v>
      </c>
      <c r="AF13" s="452">
        <f t="shared" si="23"/>
        <v>3494.03</v>
      </c>
      <c r="AG13" s="423">
        <f t="shared" si="23"/>
        <v>1755173.09</v>
      </c>
      <c r="AH13" s="423">
        <f t="shared" si="23"/>
        <v>0</v>
      </c>
      <c r="AI13" s="423">
        <f t="shared" si="23"/>
        <v>0</v>
      </c>
      <c r="AJ13" s="423">
        <f t="shared" si="23"/>
        <v>1834885.09</v>
      </c>
      <c r="AK13" s="423">
        <f t="shared" si="23"/>
        <v>0</v>
      </c>
      <c r="AL13" s="423">
        <f t="shared" si="23"/>
        <v>2740.88</v>
      </c>
      <c r="AM13" s="423">
        <f t="shared" si="23"/>
        <v>1809125.91</v>
      </c>
      <c r="AN13" s="423">
        <f t="shared" si="23"/>
        <v>5968.63</v>
      </c>
      <c r="AO13" s="365">
        <f t="shared" si="23"/>
        <v>0</v>
      </c>
      <c r="AP13" s="452">
        <f t="shared" si="23"/>
        <v>5399184.090000001</v>
      </c>
      <c r="AQ13" s="452">
        <f t="shared" si="23"/>
        <v>5968.63</v>
      </c>
      <c r="AR13" s="421">
        <f t="shared" si="23"/>
        <v>2740.88</v>
      </c>
      <c r="AS13" s="423">
        <f t="shared" si="23"/>
        <v>1966560.04</v>
      </c>
      <c r="AT13" s="365">
        <f t="shared" si="23"/>
        <v>0</v>
      </c>
      <c r="AU13" s="479">
        <f t="shared" si="23"/>
        <v>0</v>
      </c>
      <c r="AV13" s="423">
        <f t="shared" si="23"/>
        <v>1909158.58</v>
      </c>
      <c r="AW13" s="423">
        <f t="shared" si="23"/>
        <v>5988.38</v>
      </c>
      <c r="AX13" s="365">
        <f aca="true" t="shared" si="24" ref="AX13:BV13">AX11+AX12</f>
        <v>5968.63</v>
      </c>
      <c r="AY13" s="423">
        <f t="shared" si="24"/>
        <v>1938186.6199999999</v>
      </c>
      <c r="AZ13" s="423">
        <f t="shared" si="24"/>
        <v>0</v>
      </c>
      <c r="BA13" s="365">
        <f t="shared" si="24"/>
        <v>0</v>
      </c>
      <c r="BB13" s="365">
        <f t="shared" si="24"/>
        <v>5813905.24</v>
      </c>
      <c r="BC13" s="365">
        <f t="shared" si="24"/>
        <v>5988.38</v>
      </c>
      <c r="BD13" s="365">
        <f t="shared" si="24"/>
        <v>5968.63</v>
      </c>
      <c r="BE13" s="365">
        <f t="shared" si="24"/>
        <v>2076287.47</v>
      </c>
      <c r="BF13" s="365">
        <f t="shared" si="24"/>
        <v>5436.55</v>
      </c>
      <c r="BG13" s="365">
        <f t="shared" si="24"/>
        <v>5988.38</v>
      </c>
      <c r="BH13" s="365">
        <f t="shared" si="24"/>
        <v>2155452.23</v>
      </c>
      <c r="BI13" s="365">
        <f t="shared" si="24"/>
        <v>0</v>
      </c>
      <c r="BJ13" s="365">
        <f t="shared" si="24"/>
        <v>0</v>
      </c>
      <c r="BK13" s="365">
        <f t="shared" si="24"/>
        <v>0</v>
      </c>
      <c r="BL13" s="365">
        <f t="shared" si="24"/>
        <v>0</v>
      </c>
      <c r="BM13" s="423">
        <f t="shared" si="24"/>
        <v>0</v>
      </c>
      <c r="BN13" s="423">
        <f t="shared" si="24"/>
        <v>4231739.7</v>
      </c>
      <c r="BO13" s="423">
        <f t="shared" si="24"/>
        <v>5436.55</v>
      </c>
      <c r="BP13" s="423">
        <f t="shared" si="24"/>
        <v>5988.38</v>
      </c>
      <c r="BQ13" s="423">
        <f t="shared" si="24"/>
        <v>20212591.020000003</v>
      </c>
      <c r="BR13" s="423">
        <f t="shared" si="24"/>
        <v>20134.44</v>
      </c>
      <c r="BS13" s="365">
        <f t="shared" si="24"/>
        <v>18191.920000000002</v>
      </c>
      <c r="BT13" s="411">
        <f t="shared" si="24"/>
        <v>3585.5600000000013</v>
      </c>
      <c r="BU13" s="365">
        <f t="shared" si="24"/>
        <v>2100815.829999998</v>
      </c>
      <c r="BV13" s="365">
        <f t="shared" si="24"/>
        <v>2795.720000000001</v>
      </c>
      <c r="BW13" s="404">
        <v>153413.55</v>
      </c>
      <c r="BX13" s="471">
        <f>BX12+BX11</f>
        <v>714995.7499999992</v>
      </c>
      <c r="BY13" s="471">
        <f>BY11+BY12+BW13</f>
        <v>5357102.160000002</v>
      </c>
      <c r="BZ13" s="529">
        <f t="shared" si="5"/>
        <v>15003230</v>
      </c>
      <c r="CA13" s="133">
        <f t="shared" si="6"/>
        <v>1837508.274545455</v>
      </c>
      <c r="CB13" s="532">
        <f>BW13+CB12</f>
        <v>2453413.55</v>
      </c>
    </row>
    <row r="14" spans="1:80" s="1" customFormat="1" ht="16.5" customHeight="1">
      <c r="A14" s="718" t="s">
        <v>6</v>
      </c>
      <c r="B14" s="7" t="s">
        <v>22</v>
      </c>
      <c r="C14" s="81">
        <v>0</v>
      </c>
      <c r="D14" s="53">
        <v>0</v>
      </c>
      <c r="E14" s="104">
        <v>0</v>
      </c>
      <c r="F14" s="105">
        <v>0</v>
      </c>
      <c r="G14" s="146">
        <v>0</v>
      </c>
      <c r="H14" s="137">
        <v>0</v>
      </c>
      <c r="I14" s="98"/>
      <c r="J14" s="389">
        <v>0</v>
      </c>
      <c r="K14" s="133">
        <v>0</v>
      </c>
      <c r="L14" s="178"/>
      <c r="M14" s="194"/>
      <c r="N14" s="291"/>
      <c r="O14" s="232"/>
      <c r="P14" s="242"/>
      <c r="Q14" s="249">
        <f>O14+P14</f>
        <v>0</v>
      </c>
      <c r="R14" s="242"/>
      <c r="S14" s="242"/>
      <c r="T14" s="242"/>
      <c r="U14" s="311"/>
      <c r="V14" s="312"/>
      <c r="W14" s="313"/>
      <c r="X14" s="311"/>
      <c r="Y14" s="312"/>
      <c r="Z14" s="313"/>
      <c r="AA14" s="311"/>
      <c r="AB14" s="312"/>
      <c r="AC14" s="313"/>
      <c r="AD14" s="104">
        <f aca="true" t="shared" si="25" ref="AD14:AF16">U14+X14+AA14</f>
        <v>0</v>
      </c>
      <c r="AE14" s="105">
        <f t="shared" si="25"/>
        <v>0</v>
      </c>
      <c r="AF14" s="449">
        <f t="shared" si="25"/>
        <v>0</v>
      </c>
      <c r="AG14" s="311"/>
      <c r="AH14" s="312"/>
      <c r="AI14" s="313"/>
      <c r="AJ14" s="311"/>
      <c r="AK14" s="312"/>
      <c r="AL14" s="314"/>
      <c r="AM14" s="311"/>
      <c r="AN14" s="312"/>
      <c r="AO14" s="314"/>
      <c r="AP14" s="267">
        <f aca="true" t="shared" si="26" ref="AP14:AR16">AG14+AJ14+AM14</f>
        <v>0</v>
      </c>
      <c r="AQ14" s="268">
        <f t="shared" si="26"/>
        <v>0</v>
      </c>
      <c r="AR14" s="482">
        <f t="shared" si="26"/>
        <v>0</v>
      </c>
      <c r="AS14" s="311"/>
      <c r="AT14" s="314"/>
      <c r="AU14" s="356"/>
      <c r="AV14" s="311"/>
      <c r="AW14" s="312"/>
      <c r="AX14" s="314"/>
      <c r="AY14" s="311"/>
      <c r="AZ14" s="312"/>
      <c r="BA14" s="314"/>
      <c r="BB14" s="267">
        <f aca="true" t="shared" si="27" ref="BB14:BD16">AS14+AV14+AY14</f>
        <v>0</v>
      </c>
      <c r="BC14" s="268">
        <f t="shared" si="27"/>
        <v>0</v>
      </c>
      <c r="BD14" s="462">
        <f t="shared" si="27"/>
        <v>0</v>
      </c>
      <c r="BE14" s="311"/>
      <c r="BF14" s="312"/>
      <c r="BG14" s="314"/>
      <c r="BH14" s="311"/>
      <c r="BI14" s="312"/>
      <c r="BJ14" s="314"/>
      <c r="BK14" s="311"/>
      <c r="BL14" s="312"/>
      <c r="BM14" s="313"/>
      <c r="BN14" s="311">
        <f aca="true" t="shared" si="28" ref="BN14:BP16">BE14+BH14+BK14</f>
        <v>0</v>
      </c>
      <c r="BO14" s="312">
        <f t="shared" si="28"/>
        <v>0</v>
      </c>
      <c r="BP14" s="313">
        <f t="shared" si="28"/>
        <v>0</v>
      </c>
      <c r="BQ14" s="360">
        <f aca="true" t="shared" si="29" ref="BQ14:BS16">AD14+AP14+BB14+BN14</f>
        <v>0</v>
      </c>
      <c r="BR14" s="361">
        <f t="shared" si="29"/>
        <v>0</v>
      </c>
      <c r="BS14" s="419">
        <f t="shared" si="29"/>
        <v>0</v>
      </c>
      <c r="BT14" s="485">
        <f>Q14-BR14</f>
        <v>0</v>
      </c>
      <c r="BU14" s="356"/>
      <c r="BV14" s="32">
        <f>J14+BR14-BQ14</f>
        <v>0</v>
      </c>
      <c r="BW14" s="403"/>
      <c r="BX14" s="472"/>
      <c r="BY14" s="490"/>
      <c r="BZ14" s="529">
        <f t="shared" si="5"/>
        <v>0</v>
      </c>
      <c r="CA14" s="133">
        <f t="shared" si="6"/>
        <v>0</v>
      </c>
      <c r="CB14" s="475"/>
    </row>
    <row r="15" spans="1:80" s="1" customFormat="1" ht="19.5" customHeight="1">
      <c r="A15" s="718"/>
      <c r="B15" s="7" t="s">
        <v>28</v>
      </c>
      <c r="C15" s="81">
        <f>63250+4610+3420</f>
        <v>71280</v>
      </c>
      <c r="D15" s="53"/>
      <c r="E15" s="104">
        <v>66900</v>
      </c>
      <c r="F15" s="105">
        <v>0</v>
      </c>
      <c r="G15" s="146">
        <v>0</v>
      </c>
      <c r="H15" s="137"/>
      <c r="I15" s="98">
        <v>4380</v>
      </c>
      <c r="J15" s="389"/>
      <c r="K15" s="133">
        <v>5575</v>
      </c>
      <c r="L15" s="178"/>
      <c r="M15" s="171"/>
      <c r="N15" s="291"/>
      <c r="O15" s="229">
        <v>17690</v>
      </c>
      <c r="P15" s="240">
        <v>53050</v>
      </c>
      <c r="Q15" s="247">
        <f>O15+R15+S15+T15</f>
        <v>72240</v>
      </c>
      <c r="R15" s="240">
        <v>17500</v>
      </c>
      <c r="S15" s="240">
        <f>17500+1020</f>
        <v>18520</v>
      </c>
      <c r="T15" s="240">
        <f>18050+480</f>
        <v>18530</v>
      </c>
      <c r="U15" s="311">
        <v>9060</v>
      </c>
      <c r="V15" s="312"/>
      <c r="W15" s="313"/>
      <c r="X15" s="311">
        <v>3660</v>
      </c>
      <c r="Y15" s="312"/>
      <c r="Z15" s="313"/>
      <c r="AA15" s="311">
        <v>5220</v>
      </c>
      <c r="AB15" s="312"/>
      <c r="AC15" s="313"/>
      <c r="AD15" s="104">
        <f t="shared" si="25"/>
        <v>17940</v>
      </c>
      <c r="AE15" s="105">
        <f t="shared" si="25"/>
        <v>0</v>
      </c>
      <c r="AF15" s="449">
        <f t="shared" si="25"/>
        <v>0</v>
      </c>
      <c r="AG15" s="311">
        <v>6600</v>
      </c>
      <c r="AH15" s="312"/>
      <c r="AI15" s="313"/>
      <c r="AJ15" s="311">
        <v>5160</v>
      </c>
      <c r="AK15" s="312"/>
      <c r="AL15" s="314"/>
      <c r="AM15" s="311">
        <v>6180</v>
      </c>
      <c r="AN15" s="312"/>
      <c r="AO15" s="314"/>
      <c r="AP15" s="267">
        <f t="shared" si="26"/>
        <v>17940</v>
      </c>
      <c r="AQ15" s="268">
        <f t="shared" si="26"/>
        <v>0</v>
      </c>
      <c r="AR15" s="482">
        <f t="shared" si="26"/>
        <v>0</v>
      </c>
      <c r="AS15" s="311">
        <v>5820</v>
      </c>
      <c r="AT15" s="314"/>
      <c r="AU15" s="356"/>
      <c r="AV15" s="311">
        <v>6360</v>
      </c>
      <c r="AW15" s="312"/>
      <c r="AX15" s="314"/>
      <c r="AY15" s="311">
        <v>6180</v>
      </c>
      <c r="AZ15" s="312"/>
      <c r="BA15" s="314"/>
      <c r="BB15" s="267">
        <f t="shared" si="27"/>
        <v>18360</v>
      </c>
      <c r="BC15" s="268">
        <f t="shared" si="27"/>
        <v>0</v>
      </c>
      <c r="BD15" s="462">
        <f t="shared" si="27"/>
        <v>0</v>
      </c>
      <c r="BE15" s="311">
        <v>4440</v>
      </c>
      <c r="BF15" s="312"/>
      <c r="BG15" s="314"/>
      <c r="BH15" s="311">
        <v>6660</v>
      </c>
      <c r="BI15" s="312"/>
      <c r="BJ15" s="314"/>
      <c r="BK15" s="311"/>
      <c r="BL15" s="312"/>
      <c r="BM15" s="313"/>
      <c r="BN15" s="311">
        <f t="shared" si="28"/>
        <v>11100</v>
      </c>
      <c r="BO15" s="312">
        <f t="shared" si="28"/>
        <v>0</v>
      </c>
      <c r="BP15" s="313">
        <f t="shared" si="28"/>
        <v>0</v>
      </c>
      <c r="BQ15" s="360">
        <f t="shared" si="29"/>
        <v>65340</v>
      </c>
      <c r="BR15" s="361">
        <f t="shared" si="29"/>
        <v>0</v>
      </c>
      <c r="BS15" s="419">
        <f t="shared" si="29"/>
        <v>0</v>
      </c>
      <c r="BT15" s="485"/>
      <c r="BU15" s="356">
        <f>Q15-BQ15</f>
        <v>6900</v>
      </c>
      <c r="BV15" s="32"/>
      <c r="BW15" s="403"/>
      <c r="BX15" s="469">
        <v>250</v>
      </c>
      <c r="BY15" s="489">
        <f>BQ15-BZ15</f>
        <v>11630</v>
      </c>
      <c r="BZ15" s="529">
        <f t="shared" si="5"/>
        <v>53710</v>
      </c>
      <c r="CA15" s="133">
        <f t="shared" si="6"/>
        <v>5940</v>
      </c>
      <c r="CB15" s="475"/>
    </row>
    <row r="16" spans="1:80" s="1" customFormat="1" ht="20.25" customHeight="1" thickBot="1">
      <c r="A16" s="718"/>
      <c r="B16" s="22" t="s">
        <v>29</v>
      </c>
      <c r="C16" s="83">
        <f>1134890+13860+27700+20000</f>
        <v>1196450</v>
      </c>
      <c r="D16" s="54"/>
      <c r="E16" s="104">
        <v>1180421.67</v>
      </c>
      <c r="F16" s="105">
        <v>0</v>
      </c>
      <c r="G16" s="146">
        <v>0</v>
      </c>
      <c r="H16" s="137"/>
      <c r="I16" s="98">
        <v>16028.330000000075</v>
      </c>
      <c r="J16" s="389"/>
      <c r="K16" s="133">
        <v>98368.47249999999</v>
      </c>
      <c r="L16" s="179"/>
      <c r="M16" s="171"/>
      <c r="N16" s="291"/>
      <c r="O16" s="233">
        <v>299120</v>
      </c>
      <c r="P16" s="243">
        <v>897350</v>
      </c>
      <c r="Q16" s="247">
        <f>O16+R16+S16+T16</f>
        <v>1307810</v>
      </c>
      <c r="R16" s="243">
        <v>320000</v>
      </c>
      <c r="S16" s="243">
        <f>300000+104340</f>
        <v>404340</v>
      </c>
      <c r="T16" s="243">
        <f>277350+7000</f>
        <v>284350</v>
      </c>
      <c r="U16" s="311">
        <v>116160</v>
      </c>
      <c r="V16" s="312"/>
      <c r="W16" s="313"/>
      <c r="X16" s="311">
        <v>113736</v>
      </c>
      <c r="Y16" s="312"/>
      <c r="Z16" s="313"/>
      <c r="AA16" s="311">
        <v>94947.88</v>
      </c>
      <c r="AB16" s="312"/>
      <c r="AC16" s="313"/>
      <c r="AD16" s="104">
        <f t="shared" si="25"/>
        <v>324843.88</v>
      </c>
      <c r="AE16" s="105">
        <f t="shared" si="25"/>
        <v>0</v>
      </c>
      <c r="AF16" s="449">
        <f t="shared" si="25"/>
        <v>0</v>
      </c>
      <c r="AG16" s="311">
        <v>103920</v>
      </c>
      <c r="AH16" s="312"/>
      <c r="AI16" s="313"/>
      <c r="AJ16" s="311">
        <v>123840</v>
      </c>
      <c r="AK16" s="312"/>
      <c r="AL16" s="314"/>
      <c r="AM16" s="311">
        <v>97800</v>
      </c>
      <c r="AN16" s="312"/>
      <c r="AO16" s="314"/>
      <c r="AP16" s="267">
        <f t="shared" si="26"/>
        <v>325560</v>
      </c>
      <c r="AQ16" s="268">
        <f t="shared" si="26"/>
        <v>0</v>
      </c>
      <c r="AR16" s="482">
        <f t="shared" si="26"/>
        <v>0</v>
      </c>
      <c r="AS16" s="311">
        <v>109299</v>
      </c>
      <c r="AT16" s="314"/>
      <c r="AU16" s="356"/>
      <c r="AV16" s="311">
        <v>112785</v>
      </c>
      <c r="AW16" s="312"/>
      <c r="AX16" s="314"/>
      <c r="AY16" s="311">
        <v>100761</v>
      </c>
      <c r="AZ16" s="312"/>
      <c r="BA16" s="314"/>
      <c r="BB16" s="267">
        <f t="shared" si="27"/>
        <v>322845</v>
      </c>
      <c r="BC16" s="268">
        <f t="shared" si="27"/>
        <v>0</v>
      </c>
      <c r="BD16" s="462">
        <f t="shared" si="27"/>
        <v>0</v>
      </c>
      <c r="BE16" s="311">
        <v>114019.2</v>
      </c>
      <c r="BF16" s="312"/>
      <c r="BG16" s="314"/>
      <c r="BH16" s="311">
        <v>120231</v>
      </c>
      <c r="BI16" s="312"/>
      <c r="BJ16" s="314"/>
      <c r="BK16" s="311"/>
      <c r="BL16" s="312"/>
      <c r="BM16" s="313"/>
      <c r="BN16" s="311">
        <f t="shared" si="28"/>
        <v>234250.2</v>
      </c>
      <c r="BO16" s="312">
        <f t="shared" si="28"/>
        <v>0</v>
      </c>
      <c r="BP16" s="313">
        <f t="shared" si="28"/>
        <v>0</v>
      </c>
      <c r="BQ16" s="360">
        <f t="shared" si="29"/>
        <v>1207499.08</v>
      </c>
      <c r="BR16" s="361">
        <f t="shared" si="29"/>
        <v>0</v>
      </c>
      <c r="BS16" s="419">
        <f t="shared" si="29"/>
        <v>0</v>
      </c>
      <c r="BT16" s="485"/>
      <c r="BU16" s="356">
        <f>Q16-BQ16</f>
        <v>100310.91999999993</v>
      </c>
      <c r="BV16" s="32"/>
      <c r="BW16" s="403"/>
      <c r="BX16" s="469">
        <v>25723.88</v>
      </c>
      <c r="BY16" s="489">
        <f>BQ16-BZ16</f>
        <v>184039.08000000007</v>
      </c>
      <c r="BZ16" s="529">
        <f t="shared" si="5"/>
        <v>1023460</v>
      </c>
      <c r="CA16" s="133">
        <f t="shared" si="6"/>
        <v>109772.64363636365</v>
      </c>
      <c r="CB16" s="475"/>
    </row>
    <row r="17" spans="1:80" s="1" customFormat="1" ht="20.25" customHeight="1" thickBot="1">
      <c r="A17" s="3" t="s">
        <v>8</v>
      </c>
      <c r="B17" s="5" t="s">
        <v>11</v>
      </c>
      <c r="C17" s="84">
        <f>C15+C16</f>
        <v>1267730</v>
      </c>
      <c r="D17" s="33"/>
      <c r="E17" s="70">
        <v>1247321.67</v>
      </c>
      <c r="F17" s="70">
        <v>0</v>
      </c>
      <c r="G17" s="148">
        <v>0</v>
      </c>
      <c r="H17" s="62">
        <v>0</v>
      </c>
      <c r="I17" s="65">
        <v>20408.330000000075</v>
      </c>
      <c r="J17" s="390">
        <v>0</v>
      </c>
      <c r="K17" s="133">
        <v>103943.47249999999</v>
      </c>
      <c r="L17" s="180"/>
      <c r="M17" s="171"/>
      <c r="N17" s="291"/>
      <c r="O17" s="231">
        <f aca="true" t="shared" si="30" ref="O17:AT17">O15+O16</f>
        <v>316810</v>
      </c>
      <c r="P17" s="231">
        <f t="shared" si="30"/>
        <v>950400</v>
      </c>
      <c r="Q17" s="377">
        <f t="shared" si="30"/>
        <v>1380050</v>
      </c>
      <c r="R17" s="365">
        <f t="shared" si="30"/>
        <v>337500</v>
      </c>
      <c r="S17" s="365">
        <f t="shared" si="30"/>
        <v>422860</v>
      </c>
      <c r="T17" s="534">
        <f t="shared" si="30"/>
        <v>302880</v>
      </c>
      <c r="U17" s="365">
        <f t="shared" si="30"/>
        <v>125220</v>
      </c>
      <c r="V17" s="365">
        <f t="shared" si="30"/>
        <v>0</v>
      </c>
      <c r="W17" s="365">
        <f t="shared" si="30"/>
        <v>0</v>
      </c>
      <c r="X17" s="365">
        <f t="shared" si="30"/>
        <v>117396</v>
      </c>
      <c r="Y17" s="365">
        <f t="shared" si="30"/>
        <v>0</v>
      </c>
      <c r="Z17" s="365">
        <f t="shared" si="30"/>
        <v>0</v>
      </c>
      <c r="AA17" s="365">
        <f t="shared" si="30"/>
        <v>100167.88</v>
      </c>
      <c r="AB17" s="365">
        <f t="shared" si="30"/>
        <v>0</v>
      </c>
      <c r="AC17" s="423">
        <f t="shared" si="30"/>
        <v>0</v>
      </c>
      <c r="AD17" s="421">
        <f t="shared" si="30"/>
        <v>342783.88</v>
      </c>
      <c r="AE17" s="421">
        <f t="shared" si="30"/>
        <v>0</v>
      </c>
      <c r="AF17" s="452">
        <f t="shared" si="30"/>
        <v>0</v>
      </c>
      <c r="AG17" s="423">
        <f t="shared" si="30"/>
        <v>110520</v>
      </c>
      <c r="AH17" s="423">
        <f t="shared" si="30"/>
        <v>0</v>
      </c>
      <c r="AI17" s="423">
        <f t="shared" si="30"/>
        <v>0</v>
      </c>
      <c r="AJ17" s="423">
        <f t="shared" si="30"/>
        <v>129000</v>
      </c>
      <c r="AK17" s="423">
        <f t="shared" si="30"/>
        <v>0</v>
      </c>
      <c r="AL17" s="423">
        <f t="shared" si="30"/>
        <v>0</v>
      </c>
      <c r="AM17" s="423">
        <f t="shared" si="30"/>
        <v>103980</v>
      </c>
      <c r="AN17" s="423">
        <f t="shared" si="30"/>
        <v>0</v>
      </c>
      <c r="AO17" s="365">
        <f t="shared" si="30"/>
        <v>0</v>
      </c>
      <c r="AP17" s="452">
        <f t="shared" si="30"/>
        <v>343500</v>
      </c>
      <c r="AQ17" s="452">
        <f t="shared" si="30"/>
        <v>0</v>
      </c>
      <c r="AR17" s="421">
        <f t="shared" si="30"/>
        <v>0</v>
      </c>
      <c r="AS17" s="423">
        <f t="shared" si="30"/>
        <v>115119</v>
      </c>
      <c r="AT17" s="365">
        <f t="shared" si="30"/>
        <v>0</v>
      </c>
      <c r="AU17" s="479">
        <f aca="true" t="shared" si="31" ref="AU17:BV17">AU15+AU16</f>
        <v>0</v>
      </c>
      <c r="AV17" s="423">
        <f t="shared" si="31"/>
        <v>119145</v>
      </c>
      <c r="AW17" s="423">
        <f t="shared" si="31"/>
        <v>0</v>
      </c>
      <c r="AX17" s="365">
        <f t="shared" si="31"/>
        <v>0</v>
      </c>
      <c r="AY17" s="423">
        <f t="shared" si="31"/>
        <v>106941</v>
      </c>
      <c r="AZ17" s="423">
        <f t="shared" si="31"/>
        <v>0</v>
      </c>
      <c r="BA17" s="365">
        <f t="shared" si="31"/>
        <v>0</v>
      </c>
      <c r="BB17" s="365">
        <f t="shared" si="31"/>
        <v>341205</v>
      </c>
      <c r="BC17" s="365">
        <f t="shared" si="31"/>
        <v>0</v>
      </c>
      <c r="BD17" s="365">
        <f t="shared" si="31"/>
        <v>0</v>
      </c>
      <c r="BE17" s="365">
        <f t="shared" si="31"/>
        <v>118459.2</v>
      </c>
      <c r="BF17" s="365">
        <f t="shared" si="31"/>
        <v>0</v>
      </c>
      <c r="BG17" s="365">
        <f t="shared" si="31"/>
        <v>0</v>
      </c>
      <c r="BH17" s="365">
        <f t="shared" si="31"/>
        <v>126891</v>
      </c>
      <c r="BI17" s="365">
        <f t="shared" si="31"/>
        <v>0</v>
      </c>
      <c r="BJ17" s="365">
        <f t="shared" si="31"/>
        <v>0</v>
      </c>
      <c r="BK17" s="365">
        <f t="shared" si="31"/>
        <v>0</v>
      </c>
      <c r="BL17" s="365">
        <f t="shared" si="31"/>
        <v>0</v>
      </c>
      <c r="BM17" s="423">
        <f t="shared" si="31"/>
        <v>0</v>
      </c>
      <c r="BN17" s="423">
        <f t="shared" si="31"/>
        <v>245350.2</v>
      </c>
      <c r="BO17" s="423">
        <f t="shared" si="31"/>
        <v>0</v>
      </c>
      <c r="BP17" s="423">
        <f t="shared" si="31"/>
        <v>0</v>
      </c>
      <c r="BQ17" s="423">
        <f t="shared" si="31"/>
        <v>1272839.08</v>
      </c>
      <c r="BR17" s="423">
        <f t="shared" si="31"/>
        <v>0</v>
      </c>
      <c r="BS17" s="365">
        <f t="shared" si="31"/>
        <v>0</v>
      </c>
      <c r="BT17" s="411">
        <f t="shared" si="31"/>
        <v>0</v>
      </c>
      <c r="BU17" s="365">
        <f t="shared" si="31"/>
        <v>107210.91999999993</v>
      </c>
      <c r="BV17" s="365">
        <f t="shared" si="31"/>
        <v>0</v>
      </c>
      <c r="BW17" s="403"/>
      <c r="BX17" s="471">
        <v>25973.88</v>
      </c>
      <c r="BY17" s="508">
        <f>BY16+BY15</f>
        <v>195669.08000000007</v>
      </c>
      <c r="BZ17" s="529">
        <f t="shared" si="5"/>
        <v>1077170</v>
      </c>
      <c r="CA17" s="133">
        <f t="shared" si="6"/>
        <v>115712.64363636365</v>
      </c>
      <c r="CB17" s="475"/>
    </row>
    <row r="18" spans="1:80" s="1" customFormat="1" ht="21" customHeight="1" thickBot="1">
      <c r="A18" s="723" t="s">
        <v>10</v>
      </c>
      <c r="B18" s="724"/>
      <c r="C18" s="84">
        <f>C13+C14+C17</f>
        <v>15920520</v>
      </c>
      <c r="D18" s="55"/>
      <c r="E18" s="71">
        <v>15976571.2</v>
      </c>
      <c r="F18" s="71">
        <v>23242.04</v>
      </c>
      <c r="G18" s="149">
        <v>26251.96</v>
      </c>
      <c r="H18" s="63">
        <v>257.9599999999991</v>
      </c>
      <c r="I18" s="66">
        <v>-45193.1799999997</v>
      </c>
      <c r="J18" s="391"/>
      <c r="K18" s="133">
        <v>1331380.9333333333</v>
      </c>
      <c r="L18" s="181">
        <v>88070</v>
      </c>
      <c r="M18" s="171"/>
      <c r="N18" s="291"/>
      <c r="O18" s="232"/>
      <c r="P18" s="242"/>
      <c r="Q18" s="249">
        <f>O18+P18</f>
        <v>0</v>
      </c>
      <c r="R18" s="242"/>
      <c r="S18" s="242"/>
      <c r="T18" s="242"/>
      <c r="U18" s="311"/>
      <c r="V18" s="312"/>
      <c r="W18" s="313"/>
      <c r="X18" s="311"/>
      <c r="Y18" s="312"/>
      <c r="Z18" s="313"/>
      <c r="AA18" s="311"/>
      <c r="AB18" s="312"/>
      <c r="AC18" s="313"/>
      <c r="AD18" s="104">
        <f aca="true" t="shared" si="32" ref="AD18:AF20">U18+X18+AA18</f>
        <v>0</v>
      </c>
      <c r="AE18" s="105">
        <f t="shared" si="32"/>
        <v>0</v>
      </c>
      <c r="AF18" s="449">
        <f t="shared" si="32"/>
        <v>0</v>
      </c>
      <c r="AG18" s="311"/>
      <c r="AH18" s="312"/>
      <c r="AI18" s="313"/>
      <c r="AJ18" s="311"/>
      <c r="AK18" s="312"/>
      <c r="AL18" s="314"/>
      <c r="AM18" s="311"/>
      <c r="AN18" s="312"/>
      <c r="AO18" s="314"/>
      <c r="AP18" s="267">
        <f aca="true" t="shared" si="33" ref="AP18:AR20">AG18+AJ18+AM18</f>
        <v>0</v>
      </c>
      <c r="AQ18" s="268">
        <f t="shared" si="33"/>
        <v>0</v>
      </c>
      <c r="AR18" s="482">
        <f t="shared" si="33"/>
        <v>0</v>
      </c>
      <c r="AS18" s="311"/>
      <c r="AT18" s="314"/>
      <c r="AU18" s="356"/>
      <c r="AV18" s="311"/>
      <c r="AW18" s="312"/>
      <c r="AX18" s="314"/>
      <c r="AY18" s="311"/>
      <c r="AZ18" s="312"/>
      <c r="BA18" s="314"/>
      <c r="BB18" s="267">
        <f aca="true" t="shared" si="34" ref="BB18:BD20">AS18+AV18+AY18</f>
        <v>0</v>
      </c>
      <c r="BC18" s="268">
        <f t="shared" si="34"/>
        <v>0</v>
      </c>
      <c r="BD18" s="462">
        <f t="shared" si="34"/>
        <v>0</v>
      </c>
      <c r="BE18" s="311"/>
      <c r="BF18" s="312"/>
      <c r="BG18" s="314"/>
      <c r="BH18" s="311"/>
      <c r="BI18" s="312"/>
      <c r="BJ18" s="314"/>
      <c r="BK18" s="311"/>
      <c r="BL18" s="312"/>
      <c r="BM18" s="313"/>
      <c r="BN18" s="311">
        <f aca="true" t="shared" si="35" ref="BN18:BP20">BE18+BH18+BK18</f>
        <v>0</v>
      </c>
      <c r="BO18" s="312">
        <f t="shared" si="35"/>
        <v>0</v>
      </c>
      <c r="BP18" s="313">
        <f t="shared" si="35"/>
        <v>0</v>
      </c>
      <c r="BQ18" s="360">
        <f aca="true" t="shared" si="36" ref="BQ18:BS20">AD18+AP18+BB18+BN18</f>
        <v>0</v>
      </c>
      <c r="BR18" s="361">
        <f t="shared" si="36"/>
        <v>0</v>
      </c>
      <c r="BS18" s="419">
        <f t="shared" si="36"/>
        <v>0</v>
      </c>
      <c r="BT18" s="485">
        <f>Q18-BR18</f>
        <v>0</v>
      </c>
      <c r="BU18" s="356">
        <f>Q18-BQ18</f>
        <v>0</v>
      </c>
      <c r="BV18" s="32"/>
      <c r="BW18" s="403"/>
      <c r="BX18" s="472"/>
      <c r="BY18" s="490"/>
      <c r="BZ18" s="529">
        <f t="shared" si="5"/>
        <v>0</v>
      </c>
      <c r="CA18" s="133">
        <f t="shared" si="6"/>
        <v>0</v>
      </c>
      <c r="CB18" s="475"/>
    </row>
    <row r="19" spans="1:80" s="1" customFormat="1" ht="18" customHeight="1">
      <c r="A19" s="716" t="s">
        <v>35</v>
      </c>
      <c r="B19" s="7" t="s">
        <v>12</v>
      </c>
      <c r="C19" s="81">
        <f>624390-400000-100000</f>
        <v>124390</v>
      </c>
      <c r="D19" s="51">
        <v>32495.08</v>
      </c>
      <c r="E19" s="104">
        <v>78310.42</v>
      </c>
      <c r="F19" s="105">
        <v>124153.7</v>
      </c>
      <c r="G19" s="146">
        <v>94484.25</v>
      </c>
      <c r="H19" s="137">
        <v>236.3000000000029</v>
      </c>
      <c r="I19" s="98"/>
      <c r="J19" s="389">
        <v>78338.37</v>
      </c>
      <c r="K19" s="133">
        <v>6525.868333333333</v>
      </c>
      <c r="L19" s="176"/>
      <c r="M19" s="171"/>
      <c r="N19" s="291"/>
      <c r="O19" s="229">
        <v>0</v>
      </c>
      <c r="P19" s="240">
        <v>74910</v>
      </c>
      <c r="Q19" s="247">
        <f>O19+R19+S19+T19</f>
        <v>30000</v>
      </c>
      <c r="R19" s="240">
        <v>0</v>
      </c>
      <c r="S19" s="240">
        <v>25000</v>
      </c>
      <c r="T19" s="240">
        <f>74880-29880-40000</f>
        <v>5000</v>
      </c>
      <c r="U19" s="311">
        <v>0</v>
      </c>
      <c r="V19" s="312"/>
      <c r="W19" s="313">
        <v>26286.93</v>
      </c>
      <c r="X19" s="311">
        <v>6808.14</v>
      </c>
      <c r="Y19" s="312"/>
      <c r="Z19" s="313">
        <v>3364.05</v>
      </c>
      <c r="AA19" s="311">
        <v>1270.94</v>
      </c>
      <c r="AB19" s="312"/>
      <c r="AC19" s="313"/>
      <c r="AD19" s="104">
        <f t="shared" si="32"/>
        <v>8079.08</v>
      </c>
      <c r="AE19" s="105">
        <f t="shared" si="32"/>
        <v>0</v>
      </c>
      <c r="AF19" s="449">
        <f t="shared" si="32"/>
        <v>29650.98</v>
      </c>
      <c r="AG19" s="311">
        <v>0</v>
      </c>
      <c r="AH19" s="312"/>
      <c r="AI19" s="313"/>
      <c r="AJ19" s="311"/>
      <c r="AK19" s="312"/>
      <c r="AL19" s="314"/>
      <c r="AM19" s="311">
        <v>21208.89</v>
      </c>
      <c r="AN19" s="312"/>
      <c r="AO19" s="314"/>
      <c r="AP19" s="267">
        <f t="shared" si="33"/>
        <v>21208.89</v>
      </c>
      <c r="AQ19" s="268">
        <f t="shared" si="33"/>
        <v>0</v>
      </c>
      <c r="AR19" s="482">
        <f t="shared" si="33"/>
        <v>0</v>
      </c>
      <c r="AS19" s="311">
        <v>5083.76</v>
      </c>
      <c r="AT19" s="314"/>
      <c r="AU19" s="356"/>
      <c r="AV19" s="311">
        <v>10092.14</v>
      </c>
      <c r="AW19" s="312"/>
      <c r="AX19" s="314"/>
      <c r="AY19" s="311">
        <v>0</v>
      </c>
      <c r="AZ19" s="312"/>
      <c r="BA19" s="314"/>
      <c r="BB19" s="267">
        <f t="shared" si="34"/>
        <v>15175.9</v>
      </c>
      <c r="BC19" s="268">
        <f t="shared" si="34"/>
        <v>0</v>
      </c>
      <c r="BD19" s="462">
        <f t="shared" si="34"/>
        <v>0</v>
      </c>
      <c r="BE19" s="311">
        <v>9251.13</v>
      </c>
      <c r="BF19" s="312"/>
      <c r="BG19" s="314"/>
      <c r="BH19" s="311">
        <v>3993.76</v>
      </c>
      <c r="BI19" s="312"/>
      <c r="BJ19" s="314"/>
      <c r="BK19" s="311"/>
      <c r="BL19" s="312"/>
      <c r="BM19" s="313"/>
      <c r="BN19" s="311">
        <f t="shared" si="35"/>
        <v>13244.89</v>
      </c>
      <c r="BO19" s="312">
        <f t="shared" si="35"/>
        <v>0</v>
      </c>
      <c r="BP19" s="313">
        <f t="shared" si="35"/>
        <v>0</v>
      </c>
      <c r="BQ19" s="360">
        <f t="shared" si="36"/>
        <v>57708.76</v>
      </c>
      <c r="BR19" s="361">
        <f t="shared" si="36"/>
        <v>0</v>
      </c>
      <c r="BS19" s="419">
        <f t="shared" si="36"/>
        <v>29650.98</v>
      </c>
      <c r="BT19" s="485">
        <f>Q19-BR19</f>
        <v>30000</v>
      </c>
      <c r="BU19" s="356"/>
      <c r="BV19" s="32">
        <f>J19+BR19-BQ19</f>
        <v>20629.609999999993</v>
      </c>
      <c r="BW19" s="403"/>
      <c r="BX19" s="469">
        <v>-24970</v>
      </c>
      <c r="BY19" s="489">
        <f>BR19-BZ19</f>
        <v>-25000</v>
      </c>
      <c r="BZ19" s="529">
        <f t="shared" si="5"/>
        <v>25000</v>
      </c>
      <c r="CA19" s="133">
        <f t="shared" si="6"/>
        <v>5246.250909090909</v>
      </c>
      <c r="CB19" s="475">
        <v>0</v>
      </c>
    </row>
    <row r="20" spans="1:80" s="1" customFormat="1" ht="18" customHeight="1" thickBot="1">
      <c r="A20" s="717"/>
      <c r="B20" s="22" t="s">
        <v>13</v>
      </c>
      <c r="C20" s="83">
        <f>70220+5760+8500</f>
        <v>84480</v>
      </c>
      <c r="D20" s="50">
        <v>27041.07</v>
      </c>
      <c r="E20" s="104">
        <v>97144.14</v>
      </c>
      <c r="F20" s="105">
        <v>82975.35</v>
      </c>
      <c r="G20" s="146">
        <v>77777.28</v>
      </c>
      <c r="H20" s="137">
        <v>1504.6500000000087</v>
      </c>
      <c r="I20" s="98"/>
      <c r="J20" s="389">
        <v>12872.29</v>
      </c>
      <c r="K20" s="133">
        <v>8095.345</v>
      </c>
      <c r="L20" s="182"/>
      <c r="M20" s="193"/>
      <c r="N20" s="291"/>
      <c r="O20" s="233">
        <v>21170</v>
      </c>
      <c r="P20" s="243">
        <f>67890-2570</f>
        <v>65320</v>
      </c>
      <c r="Q20" s="247">
        <f>O20+R20+S20+T20</f>
        <v>107000</v>
      </c>
      <c r="R20" s="243">
        <v>25200</v>
      </c>
      <c r="S20" s="243">
        <v>25200</v>
      </c>
      <c r="T20" s="240">
        <f>18950+12150+4330</f>
        <v>35430</v>
      </c>
      <c r="U20" s="311">
        <v>8334.58</v>
      </c>
      <c r="V20" s="312"/>
      <c r="W20" s="313"/>
      <c r="X20" s="311">
        <v>0</v>
      </c>
      <c r="Y20" s="312"/>
      <c r="Z20" s="313">
        <v>20743.84</v>
      </c>
      <c r="AA20" s="311">
        <v>15632.17</v>
      </c>
      <c r="AB20" s="312">
        <v>20709.65</v>
      </c>
      <c r="AC20" s="313"/>
      <c r="AD20" s="104">
        <f t="shared" si="32"/>
        <v>23966.75</v>
      </c>
      <c r="AE20" s="105">
        <f t="shared" si="32"/>
        <v>20709.65</v>
      </c>
      <c r="AF20" s="449">
        <f t="shared" si="32"/>
        <v>20743.84</v>
      </c>
      <c r="AG20" s="311">
        <v>8320.84</v>
      </c>
      <c r="AH20" s="312"/>
      <c r="AI20" s="313"/>
      <c r="AJ20" s="311">
        <v>8320.84</v>
      </c>
      <c r="AK20" s="312">
        <v>23298.36</v>
      </c>
      <c r="AL20" s="314">
        <v>20709.65</v>
      </c>
      <c r="AM20" s="311">
        <v>8320.84</v>
      </c>
      <c r="AN20" s="312"/>
      <c r="AO20" s="314"/>
      <c r="AP20" s="267">
        <f t="shared" si="33"/>
        <v>24962.52</v>
      </c>
      <c r="AQ20" s="268">
        <f t="shared" si="33"/>
        <v>23298.36</v>
      </c>
      <c r="AR20" s="482">
        <f t="shared" si="33"/>
        <v>20709.65</v>
      </c>
      <c r="AS20" s="311">
        <v>8320.84</v>
      </c>
      <c r="AT20" s="314">
        <v>25887.06</v>
      </c>
      <c r="AU20" s="356">
        <v>23298.36</v>
      </c>
      <c r="AV20" s="311">
        <v>8320.84</v>
      </c>
      <c r="AW20" s="312"/>
      <c r="AX20" s="314"/>
      <c r="AY20" s="311">
        <v>8320.84</v>
      </c>
      <c r="AZ20" s="312"/>
      <c r="BA20" s="314">
        <v>25887.06</v>
      </c>
      <c r="BB20" s="267">
        <f t="shared" si="34"/>
        <v>24962.52</v>
      </c>
      <c r="BC20" s="268">
        <f t="shared" si="34"/>
        <v>25887.06</v>
      </c>
      <c r="BD20" s="462">
        <f t="shared" si="34"/>
        <v>49185.42</v>
      </c>
      <c r="BE20" s="311">
        <v>8320.84</v>
      </c>
      <c r="BF20" s="312"/>
      <c r="BG20" s="314"/>
      <c r="BH20" s="311">
        <v>8320.84</v>
      </c>
      <c r="BI20" s="312">
        <v>25887.06</v>
      </c>
      <c r="BJ20" s="314"/>
      <c r="BK20" s="311"/>
      <c r="BL20" s="312"/>
      <c r="BM20" s="313"/>
      <c r="BN20" s="311">
        <f t="shared" si="35"/>
        <v>16641.68</v>
      </c>
      <c r="BO20" s="312">
        <f t="shared" si="35"/>
        <v>25887.06</v>
      </c>
      <c r="BP20" s="313">
        <f t="shared" si="35"/>
        <v>0</v>
      </c>
      <c r="BQ20" s="360">
        <f t="shared" si="36"/>
        <v>90533.47</v>
      </c>
      <c r="BR20" s="361">
        <f t="shared" si="36"/>
        <v>95782.13</v>
      </c>
      <c r="BS20" s="419">
        <f t="shared" si="36"/>
        <v>90638.91</v>
      </c>
      <c r="BT20" s="485">
        <f>Q20-BR20</f>
        <v>11217.869999999995</v>
      </c>
      <c r="BU20" s="356"/>
      <c r="BV20" s="32">
        <f>J20+BR20-BQ20</f>
        <v>18120.95000000001</v>
      </c>
      <c r="BW20" s="403"/>
      <c r="BX20" s="469">
        <v>-4490.35</v>
      </c>
      <c r="BY20" s="489">
        <f>BR20-BZ20</f>
        <v>24212.130000000005</v>
      </c>
      <c r="BZ20" s="529">
        <f t="shared" si="5"/>
        <v>71570</v>
      </c>
      <c r="CA20" s="133">
        <f t="shared" si="6"/>
        <v>8230.315454545454</v>
      </c>
      <c r="CB20" s="475">
        <v>0</v>
      </c>
    </row>
    <row r="21" spans="1:80" s="1" customFormat="1" ht="19.5" customHeight="1" thickBot="1">
      <c r="A21" s="723" t="s">
        <v>14</v>
      </c>
      <c r="B21" s="724"/>
      <c r="C21" s="84">
        <f>C19+C20</f>
        <v>208870</v>
      </c>
      <c r="D21" s="33">
        <f>D19+D20</f>
        <v>59536.15</v>
      </c>
      <c r="E21" s="70">
        <v>175454.56</v>
      </c>
      <c r="F21" s="70">
        <v>207129.05</v>
      </c>
      <c r="G21" s="148">
        <v>172261.53</v>
      </c>
      <c r="H21" s="62">
        <v>1740.9500000000116</v>
      </c>
      <c r="I21" s="65">
        <v>0</v>
      </c>
      <c r="J21" s="390">
        <v>91210.64</v>
      </c>
      <c r="K21" s="133">
        <v>14621.213333333333</v>
      </c>
      <c r="L21" s="180"/>
      <c r="M21" s="197">
        <v>-1740.9500000000116</v>
      </c>
      <c r="N21" s="291"/>
      <c r="O21" s="231">
        <f aca="true" t="shared" si="37" ref="O21:AT21">O19+O20</f>
        <v>21170</v>
      </c>
      <c r="P21" s="231">
        <f t="shared" si="37"/>
        <v>140230</v>
      </c>
      <c r="Q21" s="378">
        <f t="shared" si="37"/>
        <v>137000</v>
      </c>
      <c r="R21" s="348">
        <f t="shared" si="37"/>
        <v>25200</v>
      </c>
      <c r="S21" s="348">
        <f t="shared" si="37"/>
        <v>50200</v>
      </c>
      <c r="T21" s="348">
        <f t="shared" si="37"/>
        <v>40430</v>
      </c>
      <c r="U21" s="365">
        <f t="shared" si="37"/>
        <v>8334.58</v>
      </c>
      <c r="V21" s="365">
        <f t="shared" si="37"/>
        <v>0</v>
      </c>
      <c r="W21" s="365">
        <f t="shared" si="37"/>
        <v>26286.93</v>
      </c>
      <c r="X21" s="365">
        <f t="shared" si="37"/>
        <v>6808.14</v>
      </c>
      <c r="Y21" s="365">
        <f t="shared" si="37"/>
        <v>0</v>
      </c>
      <c r="Z21" s="365">
        <f t="shared" si="37"/>
        <v>24107.89</v>
      </c>
      <c r="AA21" s="365">
        <f t="shared" si="37"/>
        <v>16903.11</v>
      </c>
      <c r="AB21" s="365">
        <f t="shared" si="37"/>
        <v>20709.65</v>
      </c>
      <c r="AC21" s="423">
        <f t="shared" si="37"/>
        <v>0</v>
      </c>
      <c r="AD21" s="421">
        <f t="shared" si="37"/>
        <v>32045.83</v>
      </c>
      <c r="AE21" s="421">
        <f t="shared" si="37"/>
        <v>20709.65</v>
      </c>
      <c r="AF21" s="452">
        <f t="shared" si="37"/>
        <v>50394.82</v>
      </c>
      <c r="AG21" s="423">
        <f t="shared" si="37"/>
        <v>8320.84</v>
      </c>
      <c r="AH21" s="423">
        <f t="shared" si="37"/>
        <v>0</v>
      </c>
      <c r="AI21" s="423">
        <f t="shared" si="37"/>
        <v>0</v>
      </c>
      <c r="AJ21" s="423">
        <f t="shared" si="37"/>
        <v>8320.84</v>
      </c>
      <c r="AK21" s="423">
        <f t="shared" si="37"/>
        <v>23298.36</v>
      </c>
      <c r="AL21" s="423">
        <f t="shared" si="37"/>
        <v>20709.65</v>
      </c>
      <c r="AM21" s="423">
        <f t="shared" si="37"/>
        <v>29529.73</v>
      </c>
      <c r="AN21" s="423">
        <f t="shared" si="37"/>
        <v>0</v>
      </c>
      <c r="AO21" s="365">
        <f t="shared" si="37"/>
        <v>0</v>
      </c>
      <c r="AP21" s="452">
        <f t="shared" si="37"/>
        <v>46171.41</v>
      </c>
      <c r="AQ21" s="452">
        <f t="shared" si="37"/>
        <v>23298.36</v>
      </c>
      <c r="AR21" s="421">
        <f t="shared" si="37"/>
        <v>20709.65</v>
      </c>
      <c r="AS21" s="423">
        <f t="shared" si="37"/>
        <v>13404.6</v>
      </c>
      <c r="AT21" s="365">
        <f t="shared" si="37"/>
        <v>25887.06</v>
      </c>
      <c r="AU21" s="479">
        <f aca="true" t="shared" si="38" ref="AU21:BV21">AU19+AU20</f>
        <v>23298.36</v>
      </c>
      <c r="AV21" s="423">
        <f t="shared" si="38"/>
        <v>18412.98</v>
      </c>
      <c r="AW21" s="423">
        <f t="shared" si="38"/>
        <v>0</v>
      </c>
      <c r="AX21" s="365">
        <f t="shared" si="38"/>
        <v>0</v>
      </c>
      <c r="AY21" s="423">
        <f t="shared" si="38"/>
        <v>8320.84</v>
      </c>
      <c r="AZ21" s="423">
        <f t="shared" si="38"/>
        <v>0</v>
      </c>
      <c r="BA21" s="365">
        <f t="shared" si="38"/>
        <v>25887.06</v>
      </c>
      <c r="BB21" s="365">
        <f t="shared" si="38"/>
        <v>40138.42</v>
      </c>
      <c r="BC21" s="365">
        <f t="shared" si="38"/>
        <v>25887.06</v>
      </c>
      <c r="BD21" s="365">
        <f t="shared" si="38"/>
        <v>49185.42</v>
      </c>
      <c r="BE21" s="365">
        <f t="shared" si="38"/>
        <v>17571.97</v>
      </c>
      <c r="BF21" s="365">
        <f t="shared" si="38"/>
        <v>0</v>
      </c>
      <c r="BG21" s="365">
        <f t="shared" si="38"/>
        <v>0</v>
      </c>
      <c r="BH21" s="365">
        <f t="shared" si="38"/>
        <v>12314.6</v>
      </c>
      <c r="BI21" s="365">
        <f t="shared" si="38"/>
        <v>25887.06</v>
      </c>
      <c r="BJ21" s="365">
        <f t="shared" si="38"/>
        <v>0</v>
      </c>
      <c r="BK21" s="365">
        <f t="shared" si="38"/>
        <v>0</v>
      </c>
      <c r="BL21" s="365">
        <f t="shared" si="38"/>
        <v>0</v>
      </c>
      <c r="BM21" s="423">
        <f t="shared" si="38"/>
        <v>0</v>
      </c>
      <c r="BN21" s="423">
        <f t="shared" si="38"/>
        <v>29886.57</v>
      </c>
      <c r="BO21" s="423">
        <f t="shared" si="38"/>
        <v>25887.06</v>
      </c>
      <c r="BP21" s="423">
        <f t="shared" si="38"/>
        <v>0</v>
      </c>
      <c r="BQ21" s="423">
        <f t="shared" si="38"/>
        <v>148242.23</v>
      </c>
      <c r="BR21" s="423">
        <f t="shared" si="38"/>
        <v>95782.13</v>
      </c>
      <c r="BS21" s="365">
        <f t="shared" si="38"/>
        <v>120289.89</v>
      </c>
      <c r="BT21" s="411">
        <f t="shared" si="38"/>
        <v>41217.869999999995</v>
      </c>
      <c r="BU21" s="365">
        <f t="shared" si="38"/>
        <v>0</v>
      </c>
      <c r="BV21" s="365">
        <f t="shared" si="38"/>
        <v>38750.560000000005</v>
      </c>
      <c r="BW21" s="403"/>
      <c r="BX21" s="470">
        <v>-29460.35</v>
      </c>
      <c r="BY21" s="470">
        <f>BY19+BY20</f>
        <v>-787.8699999999953</v>
      </c>
      <c r="BZ21" s="529">
        <f t="shared" si="5"/>
        <v>96570</v>
      </c>
      <c r="CA21" s="133">
        <f t="shared" si="6"/>
        <v>13476.566363636364</v>
      </c>
      <c r="CB21" s="475"/>
    </row>
    <row r="22" spans="1:80" s="1" customFormat="1" ht="18" customHeight="1">
      <c r="A22" s="716" t="s">
        <v>34</v>
      </c>
      <c r="B22" s="7" t="s">
        <v>0</v>
      </c>
      <c r="C22" s="81">
        <f>6930+19960-1800+320+3550+1650</f>
        <v>30610</v>
      </c>
      <c r="D22" s="51"/>
      <c r="E22" s="104">
        <v>28400.14</v>
      </c>
      <c r="F22" s="105">
        <v>0</v>
      </c>
      <c r="G22" s="146">
        <v>0</v>
      </c>
      <c r="H22" s="137"/>
      <c r="I22" s="98">
        <v>2209.86</v>
      </c>
      <c r="J22" s="389"/>
      <c r="K22" s="133">
        <v>2366.6783333333333</v>
      </c>
      <c r="L22" s="176"/>
      <c r="M22" s="39">
        <v>-2209.86</v>
      </c>
      <c r="N22" s="291"/>
      <c r="O22" s="232">
        <v>7520</v>
      </c>
      <c r="P22" s="242">
        <v>16550</v>
      </c>
      <c r="Q22" s="249">
        <f aca="true" t="shared" si="39" ref="Q22:Q27">O22+R22+S22+T22</f>
        <v>27720</v>
      </c>
      <c r="R22" s="242">
        <v>7500</v>
      </c>
      <c r="S22" s="242">
        <f>7500-2430</f>
        <v>5070</v>
      </c>
      <c r="T22" s="242">
        <f>1550+3040+3040</f>
        <v>7630</v>
      </c>
      <c r="U22" s="311">
        <v>2074.65</v>
      </c>
      <c r="V22" s="312"/>
      <c r="W22" s="313"/>
      <c r="X22" s="311">
        <v>3364.29</v>
      </c>
      <c r="Y22" s="312"/>
      <c r="Z22" s="313"/>
      <c r="AA22" s="311">
        <v>841.06</v>
      </c>
      <c r="AB22" s="312"/>
      <c r="AC22" s="313"/>
      <c r="AD22" s="104">
        <f aca="true" t="shared" si="40" ref="AD22:AF27">U22+X22+AA22</f>
        <v>6280</v>
      </c>
      <c r="AE22" s="105">
        <f t="shared" si="40"/>
        <v>0</v>
      </c>
      <c r="AF22" s="449">
        <f t="shared" si="40"/>
        <v>0</v>
      </c>
      <c r="AG22" s="311">
        <v>1682.14</v>
      </c>
      <c r="AH22" s="312"/>
      <c r="AI22" s="313"/>
      <c r="AJ22" s="311">
        <v>2943.75</v>
      </c>
      <c r="AK22" s="312"/>
      <c r="AL22" s="314"/>
      <c r="AM22" s="311">
        <v>1682.16</v>
      </c>
      <c r="AN22" s="312"/>
      <c r="AO22" s="314"/>
      <c r="AP22" s="267">
        <f aca="true" t="shared" si="41" ref="AP22:AR27">AG22+AJ22+AM22</f>
        <v>6308.05</v>
      </c>
      <c r="AQ22" s="268">
        <f t="shared" si="41"/>
        <v>0</v>
      </c>
      <c r="AR22" s="482">
        <f t="shared" si="41"/>
        <v>0</v>
      </c>
      <c r="AS22" s="311">
        <v>2102.66</v>
      </c>
      <c r="AT22" s="314"/>
      <c r="AU22" s="356"/>
      <c r="AV22" s="311">
        <v>3784.81</v>
      </c>
      <c r="AW22" s="312"/>
      <c r="AX22" s="314"/>
      <c r="AY22" s="311">
        <v>2523.2</v>
      </c>
      <c r="AZ22" s="312"/>
      <c r="BA22" s="314"/>
      <c r="BB22" s="267">
        <f aca="true" t="shared" si="42" ref="BB22:BD27">AS22+AV22+AY22</f>
        <v>8410.669999999998</v>
      </c>
      <c r="BC22" s="268">
        <f t="shared" si="42"/>
        <v>0</v>
      </c>
      <c r="BD22" s="462">
        <f t="shared" si="42"/>
        <v>0</v>
      </c>
      <c r="BE22" s="311">
        <v>2102.68</v>
      </c>
      <c r="BF22" s="312"/>
      <c r="BG22" s="314"/>
      <c r="BH22" s="311">
        <v>3784.82</v>
      </c>
      <c r="BI22" s="312"/>
      <c r="BJ22" s="314"/>
      <c r="BK22" s="311"/>
      <c r="BL22" s="312"/>
      <c r="BM22" s="313"/>
      <c r="BN22" s="311">
        <f aca="true" t="shared" si="43" ref="BN22:BP27">BE22+BH22+BK22</f>
        <v>5887.5</v>
      </c>
      <c r="BO22" s="312">
        <f t="shared" si="43"/>
        <v>0</v>
      </c>
      <c r="BP22" s="313">
        <f t="shared" si="43"/>
        <v>0</v>
      </c>
      <c r="BQ22" s="360">
        <f aca="true" t="shared" si="44" ref="BQ22:BS27">AD22+AP22+BB22+BN22</f>
        <v>26886.219999999998</v>
      </c>
      <c r="BR22" s="361">
        <f t="shared" si="44"/>
        <v>0</v>
      </c>
      <c r="BS22" s="419">
        <f t="shared" si="44"/>
        <v>0</v>
      </c>
      <c r="BT22" s="485"/>
      <c r="BU22" s="356">
        <f>Q22-BQ22</f>
        <v>833.7800000000025</v>
      </c>
      <c r="BV22" s="32"/>
      <c r="BW22" s="403"/>
      <c r="BX22" s="469">
        <v>-1240</v>
      </c>
      <c r="BY22" s="489">
        <f>BQ22-BZ22</f>
        <v>6796.2199999999975</v>
      </c>
      <c r="BZ22" s="529">
        <f t="shared" si="5"/>
        <v>20090</v>
      </c>
      <c r="CA22" s="133">
        <f t="shared" si="6"/>
        <v>2444.201818181818</v>
      </c>
      <c r="CB22" s="475">
        <v>0</v>
      </c>
    </row>
    <row r="23" spans="1:80" s="1" customFormat="1" ht="19.5" customHeight="1" thickBot="1">
      <c r="A23" s="718"/>
      <c r="B23" s="24" t="s">
        <v>30</v>
      </c>
      <c r="C23" s="83">
        <f>943490+35400+72000+1000</f>
        <v>1051890</v>
      </c>
      <c r="D23" s="52">
        <v>238686.46</v>
      </c>
      <c r="E23" s="104">
        <v>1193432.27</v>
      </c>
      <c r="F23" s="105">
        <v>1050220.4</v>
      </c>
      <c r="G23" s="146">
        <v>1193446.16</v>
      </c>
      <c r="H23" s="137">
        <v>1669.6000000000931</v>
      </c>
      <c r="I23" s="98"/>
      <c r="J23" s="389">
        <v>95474.58</v>
      </c>
      <c r="K23" s="133">
        <v>99452.68916666666</v>
      </c>
      <c r="L23" s="177"/>
      <c r="M23" s="38">
        <v>-1669.6000000000931</v>
      </c>
      <c r="N23" s="291"/>
      <c r="O23" s="229">
        <v>303010</v>
      </c>
      <c r="P23" s="240">
        <f>612210+8220</f>
        <v>620430</v>
      </c>
      <c r="Q23" s="249">
        <f t="shared" si="39"/>
        <v>1300860</v>
      </c>
      <c r="R23" s="240">
        <v>286500</v>
      </c>
      <c r="S23" s="240">
        <f>269840</f>
        <v>269840</v>
      </c>
      <c r="T23" s="242">
        <f>39360-16660+95480+161670+161660</f>
        <v>441510</v>
      </c>
      <c r="U23" s="311">
        <v>95474.58</v>
      </c>
      <c r="V23" s="312"/>
      <c r="W23" s="313">
        <v>190939.69</v>
      </c>
      <c r="X23" s="311">
        <v>95474.58</v>
      </c>
      <c r="Y23" s="312">
        <v>274489.42</v>
      </c>
      <c r="Z23" s="313">
        <v>9.47</v>
      </c>
      <c r="AA23" s="311">
        <v>95474.58</v>
      </c>
      <c r="AB23" s="312"/>
      <c r="AC23" s="313"/>
      <c r="AD23" s="104">
        <f t="shared" si="40"/>
        <v>286423.74</v>
      </c>
      <c r="AE23" s="105">
        <f t="shared" si="40"/>
        <v>274489.42</v>
      </c>
      <c r="AF23" s="449">
        <f t="shared" si="40"/>
        <v>190949.16</v>
      </c>
      <c r="AG23" s="311">
        <v>95474.58</v>
      </c>
      <c r="AH23" s="312">
        <v>59671.61</v>
      </c>
      <c r="AI23" s="313">
        <v>274477.68</v>
      </c>
      <c r="AJ23" s="311">
        <v>119343.23</v>
      </c>
      <c r="AK23" s="312">
        <v>143211.87</v>
      </c>
      <c r="AL23" s="314">
        <v>11.74</v>
      </c>
      <c r="AM23" s="311">
        <v>83540.26</v>
      </c>
      <c r="AN23" s="312">
        <v>95474.58</v>
      </c>
      <c r="AO23" s="314">
        <v>59671.61</v>
      </c>
      <c r="AP23" s="267">
        <f t="shared" si="41"/>
        <v>298358.07</v>
      </c>
      <c r="AQ23" s="268">
        <f t="shared" si="41"/>
        <v>298358.06</v>
      </c>
      <c r="AR23" s="482">
        <f t="shared" si="41"/>
        <v>334161.02999999997</v>
      </c>
      <c r="AS23" s="311">
        <v>119343.22</v>
      </c>
      <c r="AT23" s="314">
        <v>143211.87</v>
      </c>
      <c r="AU23" s="356">
        <v>143211.87</v>
      </c>
      <c r="AV23" s="311">
        <v>95474.58</v>
      </c>
      <c r="AW23" s="312">
        <v>95474.58</v>
      </c>
      <c r="AX23" s="314">
        <v>95473.7</v>
      </c>
      <c r="AY23" s="311">
        <v>95474.58</v>
      </c>
      <c r="AZ23" s="312">
        <v>47737.29</v>
      </c>
      <c r="BA23" s="314">
        <v>143205.31</v>
      </c>
      <c r="BB23" s="267">
        <f t="shared" si="42"/>
        <v>310292.38</v>
      </c>
      <c r="BC23" s="268">
        <f t="shared" si="42"/>
        <v>286423.74</v>
      </c>
      <c r="BD23" s="462">
        <f t="shared" si="42"/>
        <v>381890.88</v>
      </c>
      <c r="BE23" s="311">
        <v>119343.22</v>
      </c>
      <c r="BF23" s="312">
        <v>95474.58</v>
      </c>
      <c r="BG23" s="314">
        <v>95470.05</v>
      </c>
      <c r="BH23" s="311">
        <v>95474.58</v>
      </c>
      <c r="BI23" s="312">
        <v>143211.87</v>
      </c>
      <c r="BJ23" s="314">
        <v>47749.26</v>
      </c>
      <c r="BK23" s="311"/>
      <c r="BL23" s="312"/>
      <c r="BM23" s="313"/>
      <c r="BN23" s="311">
        <f t="shared" si="43"/>
        <v>214817.8</v>
      </c>
      <c r="BO23" s="312">
        <f t="shared" si="43"/>
        <v>238686.45</v>
      </c>
      <c r="BP23" s="313">
        <f t="shared" si="43"/>
        <v>143219.31</v>
      </c>
      <c r="BQ23" s="360">
        <f t="shared" si="44"/>
        <v>1109891.99</v>
      </c>
      <c r="BR23" s="361">
        <f t="shared" si="44"/>
        <v>1097957.67</v>
      </c>
      <c r="BS23" s="419">
        <f t="shared" si="44"/>
        <v>1050220.38</v>
      </c>
      <c r="BT23" s="485">
        <f>Q23-BR23</f>
        <v>202902.33000000007</v>
      </c>
      <c r="BU23" s="356"/>
      <c r="BV23" s="32">
        <f>J23+BR23-BQ23</f>
        <v>83540.26000000001</v>
      </c>
      <c r="BW23" s="403"/>
      <c r="BX23" s="469">
        <v>-28520.58</v>
      </c>
      <c r="BY23" s="489">
        <f>BR23-BZ23</f>
        <v>238607.66999999993</v>
      </c>
      <c r="BZ23" s="529">
        <f t="shared" si="5"/>
        <v>859350</v>
      </c>
      <c r="CA23" s="133">
        <f t="shared" si="6"/>
        <v>100899.27181818182</v>
      </c>
      <c r="CB23" s="475">
        <v>0</v>
      </c>
    </row>
    <row r="24" spans="1:80" s="1" customFormat="1" ht="15.75" customHeight="1" thickBot="1">
      <c r="A24" s="718"/>
      <c r="B24" s="25" t="s">
        <v>31</v>
      </c>
      <c r="C24" s="82">
        <f>56500+19760+6400-2400</f>
        <v>80260</v>
      </c>
      <c r="D24" s="49"/>
      <c r="E24" s="104">
        <v>94285.38</v>
      </c>
      <c r="F24" s="105">
        <v>0</v>
      </c>
      <c r="G24" s="146">
        <v>0</v>
      </c>
      <c r="H24" s="137"/>
      <c r="I24" s="191">
        <v>-14025.38</v>
      </c>
      <c r="J24" s="389"/>
      <c r="K24" s="133">
        <v>7857.114999999999</v>
      </c>
      <c r="L24" s="173"/>
      <c r="M24" s="196">
        <v>14025.38</v>
      </c>
      <c r="N24" s="291">
        <v>14025.38</v>
      </c>
      <c r="O24" s="229">
        <v>23580</v>
      </c>
      <c r="P24" s="240">
        <v>45980</v>
      </c>
      <c r="Q24" s="249">
        <f t="shared" si="39"/>
        <v>99560</v>
      </c>
      <c r="R24" s="240">
        <v>23600</v>
      </c>
      <c r="S24" s="240">
        <f>22380+8560</f>
        <v>30940</v>
      </c>
      <c r="T24" s="242">
        <f>10720+10720</f>
        <v>21440</v>
      </c>
      <c r="U24" s="311"/>
      <c r="V24" s="312"/>
      <c r="W24" s="313"/>
      <c r="X24" s="311"/>
      <c r="Y24" s="312"/>
      <c r="Z24" s="313"/>
      <c r="AA24" s="311">
        <v>21365.16</v>
      </c>
      <c r="AB24" s="312"/>
      <c r="AC24" s="313"/>
      <c r="AD24" s="104">
        <f t="shared" si="40"/>
        <v>21365.16</v>
      </c>
      <c r="AE24" s="105">
        <f t="shared" si="40"/>
        <v>0</v>
      </c>
      <c r="AF24" s="449">
        <f t="shared" si="40"/>
        <v>0</v>
      </c>
      <c r="AG24" s="311">
        <v>0</v>
      </c>
      <c r="AH24" s="312"/>
      <c r="AI24" s="313"/>
      <c r="AJ24" s="311">
        <v>0</v>
      </c>
      <c r="AK24" s="312"/>
      <c r="AL24" s="314"/>
      <c r="AM24" s="311">
        <v>21365.16</v>
      </c>
      <c r="AN24" s="312"/>
      <c r="AO24" s="314"/>
      <c r="AP24" s="267">
        <f t="shared" si="41"/>
        <v>21365.16</v>
      </c>
      <c r="AQ24" s="268">
        <f t="shared" si="41"/>
        <v>0</v>
      </c>
      <c r="AR24" s="482">
        <f t="shared" si="41"/>
        <v>0</v>
      </c>
      <c r="AS24" s="311">
        <v>0</v>
      </c>
      <c r="AT24" s="314"/>
      <c r="AU24" s="356"/>
      <c r="AV24" s="311">
        <v>0</v>
      </c>
      <c r="AW24" s="312"/>
      <c r="AX24" s="314"/>
      <c r="AY24" s="311">
        <v>21365.16</v>
      </c>
      <c r="AZ24" s="312"/>
      <c r="BA24" s="314"/>
      <c r="BB24" s="267">
        <f t="shared" si="42"/>
        <v>21365.16</v>
      </c>
      <c r="BC24" s="268">
        <f t="shared" si="42"/>
        <v>0</v>
      </c>
      <c r="BD24" s="462">
        <f t="shared" si="42"/>
        <v>0</v>
      </c>
      <c r="BE24" s="311">
        <v>0</v>
      </c>
      <c r="BF24" s="312"/>
      <c r="BG24" s="314"/>
      <c r="BH24" s="311"/>
      <c r="BI24" s="312"/>
      <c r="BJ24" s="314"/>
      <c r="BK24" s="311"/>
      <c r="BL24" s="312"/>
      <c r="BM24" s="313"/>
      <c r="BN24" s="311">
        <f t="shared" si="43"/>
        <v>0</v>
      </c>
      <c r="BO24" s="312">
        <f t="shared" si="43"/>
        <v>0</v>
      </c>
      <c r="BP24" s="313">
        <f t="shared" si="43"/>
        <v>0</v>
      </c>
      <c r="BQ24" s="360">
        <f t="shared" si="44"/>
        <v>64095.479999999996</v>
      </c>
      <c r="BR24" s="361">
        <f t="shared" si="44"/>
        <v>0</v>
      </c>
      <c r="BS24" s="419">
        <f t="shared" si="44"/>
        <v>0</v>
      </c>
      <c r="BT24" s="485"/>
      <c r="BU24" s="356">
        <f>Q24-BQ24</f>
        <v>35464.520000000004</v>
      </c>
      <c r="BV24" s="32"/>
      <c r="BW24" s="403">
        <v>14025.38</v>
      </c>
      <c r="BX24" s="469">
        <v>-2214.84</v>
      </c>
      <c r="BY24" s="489">
        <f>BQ24+BW24-BZ24</f>
        <v>0.8600000000005821</v>
      </c>
      <c r="BZ24" s="529">
        <f t="shared" si="5"/>
        <v>78120</v>
      </c>
      <c r="CA24" s="133">
        <f t="shared" si="6"/>
        <v>5826.861818181817</v>
      </c>
      <c r="CB24" s="475">
        <v>0</v>
      </c>
    </row>
    <row r="25" spans="1:80" s="1" customFormat="1" ht="15.75" customHeight="1">
      <c r="A25" s="718"/>
      <c r="B25" s="25" t="s">
        <v>55</v>
      </c>
      <c r="C25" s="82">
        <f>199230+392040+580000-13400</f>
        <v>1157870</v>
      </c>
      <c r="D25" s="49"/>
      <c r="E25" s="104">
        <v>1157822.64</v>
      </c>
      <c r="F25" s="105"/>
      <c r="G25" s="146"/>
      <c r="H25" s="137"/>
      <c r="I25" s="98">
        <v>47.359999999869615</v>
      </c>
      <c r="J25" s="389"/>
      <c r="K25" s="133">
        <v>96485.22</v>
      </c>
      <c r="L25" s="173"/>
      <c r="M25" s="31">
        <v>-47.359999999869615</v>
      </c>
      <c r="N25" s="291"/>
      <c r="O25" s="229">
        <v>591270</v>
      </c>
      <c r="P25" s="240">
        <v>1285370</v>
      </c>
      <c r="Q25" s="249">
        <f t="shared" si="39"/>
        <v>2315650</v>
      </c>
      <c r="R25" s="240">
        <v>566730</v>
      </c>
      <c r="S25" s="240">
        <v>579000</v>
      </c>
      <c r="T25" s="242">
        <f>139640+219500+219510</f>
        <v>578650</v>
      </c>
      <c r="U25" s="311">
        <v>192970.44</v>
      </c>
      <c r="V25" s="312"/>
      <c r="W25" s="313"/>
      <c r="X25" s="311">
        <v>192970.44</v>
      </c>
      <c r="Y25" s="312"/>
      <c r="Z25" s="313"/>
      <c r="AA25" s="311">
        <v>192970.44</v>
      </c>
      <c r="AB25" s="312"/>
      <c r="AC25" s="313"/>
      <c r="AD25" s="104">
        <f t="shared" si="40"/>
        <v>578911.3200000001</v>
      </c>
      <c r="AE25" s="105">
        <f t="shared" si="40"/>
        <v>0</v>
      </c>
      <c r="AF25" s="449">
        <f t="shared" si="40"/>
        <v>0</v>
      </c>
      <c r="AG25" s="311">
        <v>192970.44</v>
      </c>
      <c r="AH25" s="312"/>
      <c r="AI25" s="313"/>
      <c r="AJ25" s="311">
        <v>192970.44</v>
      </c>
      <c r="AK25" s="312"/>
      <c r="AL25" s="314"/>
      <c r="AM25" s="311">
        <v>192970.44</v>
      </c>
      <c r="AN25" s="312"/>
      <c r="AO25" s="314"/>
      <c r="AP25" s="267">
        <f t="shared" si="41"/>
        <v>578911.3200000001</v>
      </c>
      <c r="AQ25" s="268">
        <f t="shared" si="41"/>
        <v>0</v>
      </c>
      <c r="AR25" s="482">
        <f t="shared" si="41"/>
        <v>0</v>
      </c>
      <c r="AS25" s="311">
        <v>192970.44</v>
      </c>
      <c r="AT25" s="314"/>
      <c r="AU25" s="356"/>
      <c r="AV25" s="311">
        <v>192970.44</v>
      </c>
      <c r="AW25" s="312"/>
      <c r="AX25" s="314"/>
      <c r="AY25" s="311">
        <v>192970.44</v>
      </c>
      <c r="AZ25" s="312"/>
      <c r="BA25" s="314"/>
      <c r="BB25" s="267">
        <f t="shared" si="42"/>
        <v>578911.3200000001</v>
      </c>
      <c r="BC25" s="268">
        <f t="shared" si="42"/>
        <v>0</v>
      </c>
      <c r="BD25" s="462">
        <f t="shared" si="42"/>
        <v>0</v>
      </c>
      <c r="BE25" s="311">
        <v>192970.44</v>
      </c>
      <c r="BF25" s="312"/>
      <c r="BG25" s="314"/>
      <c r="BH25" s="311">
        <v>192970.44</v>
      </c>
      <c r="BI25" s="312"/>
      <c r="BJ25" s="314"/>
      <c r="BK25" s="311"/>
      <c r="BL25" s="312"/>
      <c r="BM25" s="313"/>
      <c r="BN25" s="311">
        <f t="shared" si="43"/>
        <v>385940.88</v>
      </c>
      <c r="BO25" s="312">
        <f t="shared" si="43"/>
        <v>0</v>
      </c>
      <c r="BP25" s="313">
        <f t="shared" si="43"/>
        <v>0</v>
      </c>
      <c r="BQ25" s="360">
        <f t="shared" si="44"/>
        <v>2122674.8400000003</v>
      </c>
      <c r="BR25" s="361">
        <f t="shared" si="44"/>
        <v>0</v>
      </c>
      <c r="BS25" s="419">
        <f t="shared" si="44"/>
        <v>0</v>
      </c>
      <c r="BT25" s="485"/>
      <c r="BU25" s="356">
        <f>Q25-BQ25</f>
        <v>192975.15999999968</v>
      </c>
      <c r="BV25" s="32"/>
      <c r="BW25" s="403"/>
      <c r="BX25" s="469">
        <v>-12358.679999999935</v>
      </c>
      <c r="BY25" s="489">
        <f>BQ25-BZ25</f>
        <v>385674.8400000003</v>
      </c>
      <c r="BZ25" s="529">
        <f t="shared" si="5"/>
        <v>1737000</v>
      </c>
      <c r="CA25" s="133">
        <f t="shared" si="6"/>
        <v>192970.44000000003</v>
      </c>
      <c r="CB25" s="475">
        <v>0</v>
      </c>
    </row>
    <row r="26" spans="1:80" s="1" customFormat="1" ht="15.75" customHeight="1" thickBot="1">
      <c r="A26" s="718"/>
      <c r="B26" s="25" t="s">
        <v>41</v>
      </c>
      <c r="C26" s="82">
        <f>1510+22950+2420-9260+5030</f>
        <v>22650</v>
      </c>
      <c r="D26" s="49"/>
      <c r="E26" s="104">
        <v>22644.9</v>
      </c>
      <c r="F26" s="105">
        <v>0</v>
      </c>
      <c r="G26" s="146">
        <v>0</v>
      </c>
      <c r="H26" s="137"/>
      <c r="I26" s="201">
        <v>5.100000000002183</v>
      </c>
      <c r="J26" s="389"/>
      <c r="K26" s="133">
        <v>1887.075</v>
      </c>
      <c r="L26" s="173"/>
      <c r="M26" s="199">
        <v>-5.100000000002183</v>
      </c>
      <c r="N26" s="291"/>
      <c r="O26" s="229">
        <v>7560</v>
      </c>
      <c r="P26" s="240">
        <f>10660+2720</f>
        <v>13380</v>
      </c>
      <c r="Q26" s="249">
        <f t="shared" si="39"/>
        <v>32000</v>
      </c>
      <c r="R26" s="240">
        <v>7560</v>
      </c>
      <c r="S26" s="240">
        <f>3100+250</f>
        <v>3350</v>
      </c>
      <c r="T26" s="242">
        <f>4020+4010+5500</f>
        <v>13530</v>
      </c>
      <c r="U26" s="311">
        <v>2516.1</v>
      </c>
      <c r="V26" s="312"/>
      <c r="W26" s="313"/>
      <c r="X26" s="311"/>
      <c r="Y26" s="312"/>
      <c r="Z26" s="313"/>
      <c r="AA26" s="311">
        <v>2516.1</v>
      </c>
      <c r="AB26" s="312"/>
      <c r="AC26" s="313"/>
      <c r="AD26" s="104">
        <f t="shared" si="40"/>
        <v>5032.2</v>
      </c>
      <c r="AE26" s="105">
        <f t="shared" si="40"/>
        <v>0</v>
      </c>
      <c r="AF26" s="449">
        <f t="shared" si="40"/>
        <v>0</v>
      </c>
      <c r="AG26" s="311">
        <v>2683.08</v>
      </c>
      <c r="AH26" s="312"/>
      <c r="AI26" s="313"/>
      <c r="AJ26" s="311">
        <v>2683.08</v>
      </c>
      <c r="AK26" s="312"/>
      <c r="AL26" s="314"/>
      <c r="AM26" s="311">
        <v>0</v>
      </c>
      <c r="AN26" s="312"/>
      <c r="AO26" s="314"/>
      <c r="AP26" s="267">
        <f t="shared" si="41"/>
        <v>5366.16</v>
      </c>
      <c r="AQ26" s="268">
        <f t="shared" si="41"/>
        <v>0</v>
      </c>
      <c r="AR26" s="482">
        <f t="shared" si="41"/>
        <v>0</v>
      </c>
      <c r="AS26" s="311">
        <v>2683.08</v>
      </c>
      <c r="AT26" s="314"/>
      <c r="AU26" s="356"/>
      <c r="AV26" s="311">
        <v>2683.08</v>
      </c>
      <c r="AW26" s="312"/>
      <c r="AX26" s="314"/>
      <c r="AY26" s="311"/>
      <c r="AZ26" s="312"/>
      <c r="BA26" s="314"/>
      <c r="BB26" s="267">
        <f t="shared" si="42"/>
        <v>5366.16</v>
      </c>
      <c r="BC26" s="268">
        <f t="shared" si="42"/>
        <v>0</v>
      </c>
      <c r="BD26" s="462">
        <f t="shared" si="42"/>
        <v>0</v>
      </c>
      <c r="BE26" s="311">
        <v>5407.91</v>
      </c>
      <c r="BF26" s="312"/>
      <c r="BG26" s="314"/>
      <c r="BH26" s="311">
        <v>2683.08</v>
      </c>
      <c r="BI26" s="312"/>
      <c r="BJ26" s="314"/>
      <c r="BK26" s="311"/>
      <c r="BL26" s="312"/>
      <c r="BM26" s="313"/>
      <c r="BN26" s="311">
        <f t="shared" si="43"/>
        <v>8090.99</v>
      </c>
      <c r="BO26" s="312">
        <f t="shared" si="43"/>
        <v>0</v>
      </c>
      <c r="BP26" s="313">
        <f t="shared" si="43"/>
        <v>0</v>
      </c>
      <c r="BQ26" s="360">
        <f t="shared" si="44"/>
        <v>23855.510000000002</v>
      </c>
      <c r="BR26" s="361">
        <f t="shared" si="44"/>
        <v>0</v>
      </c>
      <c r="BS26" s="419">
        <f t="shared" si="44"/>
        <v>0</v>
      </c>
      <c r="BT26" s="485"/>
      <c r="BU26" s="356">
        <f>Q26-BQ26</f>
        <v>8144.489999999998</v>
      </c>
      <c r="BV26" s="32"/>
      <c r="BW26" s="403"/>
      <c r="BX26" s="469">
        <v>-2527.8</v>
      </c>
      <c r="BY26" s="489">
        <f>BQ26-BZ26</f>
        <v>5385.510000000002</v>
      </c>
      <c r="BZ26" s="529">
        <f t="shared" si="5"/>
        <v>18470</v>
      </c>
      <c r="CA26" s="133">
        <f t="shared" si="6"/>
        <v>2168.6827272727273</v>
      </c>
      <c r="CB26" s="475">
        <v>0</v>
      </c>
    </row>
    <row r="27" spans="1:80" s="1" customFormat="1" ht="21.75" customHeight="1" thickBot="1">
      <c r="A27" s="717"/>
      <c r="B27" s="24" t="s">
        <v>15</v>
      </c>
      <c r="C27" s="83">
        <f>286810+34430+25500+28650-4150-5030</f>
        <v>366210</v>
      </c>
      <c r="D27" s="50"/>
      <c r="E27" s="104">
        <v>376227.37</v>
      </c>
      <c r="F27" s="105">
        <v>0</v>
      </c>
      <c r="G27" s="146">
        <v>0</v>
      </c>
      <c r="H27" s="137"/>
      <c r="I27" s="191">
        <v>-10017.37</v>
      </c>
      <c r="J27" s="389"/>
      <c r="K27" s="133">
        <v>31352.280833333334</v>
      </c>
      <c r="L27" s="182"/>
      <c r="M27" s="195">
        <v>10017.37</v>
      </c>
      <c r="N27" s="291">
        <v>10017.37</v>
      </c>
      <c r="O27" s="233">
        <v>96000</v>
      </c>
      <c r="P27" s="243">
        <f>204830+2890</f>
        <v>207720</v>
      </c>
      <c r="Q27" s="249">
        <f t="shared" si="39"/>
        <v>354500</v>
      </c>
      <c r="R27" s="243">
        <v>96000</v>
      </c>
      <c r="S27" s="243">
        <f>96000-19000</f>
        <v>77000</v>
      </c>
      <c r="T27" s="242">
        <f>12830+39090+39080-5500</f>
        <v>85500</v>
      </c>
      <c r="U27" s="311">
        <v>27650.41</v>
      </c>
      <c r="V27" s="312"/>
      <c r="W27" s="313"/>
      <c r="X27" s="311">
        <v>22648.24</v>
      </c>
      <c r="Y27" s="312"/>
      <c r="Z27" s="313"/>
      <c r="AA27" s="311">
        <v>45108.78</v>
      </c>
      <c r="AB27" s="312"/>
      <c r="AC27" s="313"/>
      <c r="AD27" s="104">
        <f t="shared" si="40"/>
        <v>95407.43</v>
      </c>
      <c r="AE27" s="105">
        <f t="shared" si="40"/>
        <v>0</v>
      </c>
      <c r="AF27" s="449">
        <f t="shared" si="40"/>
        <v>0</v>
      </c>
      <c r="AG27" s="311">
        <v>24668.19</v>
      </c>
      <c r="AH27" s="312"/>
      <c r="AI27" s="313"/>
      <c r="AJ27" s="311">
        <v>24971.4</v>
      </c>
      <c r="AK27" s="312"/>
      <c r="AL27" s="314"/>
      <c r="AM27" s="311">
        <v>17919.26</v>
      </c>
      <c r="AN27" s="312"/>
      <c r="AO27" s="314"/>
      <c r="AP27" s="267">
        <f t="shared" si="41"/>
        <v>67558.84999999999</v>
      </c>
      <c r="AQ27" s="268">
        <f t="shared" si="41"/>
        <v>0</v>
      </c>
      <c r="AR27" s="482">
        <f t="shared" si="41"/>
        <v>0</v>
      </c>
      <c r="AS27" s="311">
        <v>32398.51</v>
      </c>
      <c r="AT27" s="314"/>
      <c r="AU27" s="356"/>
      <c r="AV27" s="311">
        <v>30801.62</v>
      </c>
      <c r="AW27" s="312"/>
      <c r="AX27" s="314"/>
      <c r="AY27" s="311">
        <v>31659.76</v>
      </c>
      <c r="AZ27" s="312"/>
      <c r="BA27" s="314"/>
      <c r="BB27" s="267">
        <f t="shared" si="42"/>
        <v>94859.89</v>
      </c>
      <c r="BC27" s="268">
        <f t="shared" si="42"/>
        <v>0</v>
      </c>
      <c r="BD27" s="462">
        <f t="shared" si="42"/>
        <v>0</v>
      </c>
      <c r="BE27" s="311">
        <v>28252.45</v>
      </c>
      <c r="BF27" s="312"/>
      <c r="BG27" s="314"/>
      <c r="BH27" s="311">
        <v>20483.87</v>
      </c>
      <c r="BI27" s="312"/>
      <c r="BJ27" s="314"/>
      <c r="BK27" s="311"/>
      <c r="BL27" s="312"/>
      <c r="BM27" s="313"/>
      <c r="BN27" s="311">
        <f t="shared" si="43"/>
        <v>48736.32</v>
      </c>
      <c r="BO27" s="312">
        <f t="shared" si="43"/>
        <v>0</v>
      </c>
      <c r="BP27" s="313">
        <f t="shared" si="43"/>
        <v>0</v>
      </c>
      <c r="BQ27" s="360">
        <f t="shared" si="44"/>
        <v>306562.49</v>
      </c>
      <c r="BR27" s="361">
        <f t="shared" si="44"/>
        <v>0</v>
      </c>
      <c r="BS27" s="419">
        <f t="shared" si="44"/>
        <v>0</v>
      </c>
      <c r="BT27" s="485"/>
      <c r="BU27" s="356">
        <f>Q27-BQ27</f>
        <v>47937.51000000001</v>
      </c>
      <c r="BV27" s="32"/>
      <c r="BW27" s="403">
        <v>10017.37</v>
      </c>
      <c r="BX27" s="469">
        <v>-592.570000000007</v>
      </c>
      <c r="BY27" s="489">
        <f>BQ27+BW27-BZ27</f>
        <v>47579.859999999986</v>
      </c>
      <c r="BZ27" s="529">
        <f t="shared" si="5"/>
        <v>269000</v>
      </c>
      <c r="CA27" s="133">
        <f t="shared" si="6"/>
        <v>27869.317272727272</v>
      </c>
      <c r="CB27" s="475">
        <v>0</v>
      </c>
    </row>
    <row r="28" spans="1:80" s="1" customFormat="1" ht="19.5" customHeight="1" thickBot="1">
      <c r="A28" s="723" t="s">
        <v>16</v>
      </c>
      <c r="B28" s="724"/>
      <c r="C28" s="84">
        <f>SUM(C22:C27)</f>
        <v>2709490</v>
      </c>
      <c r="D28" s="4">
        <f>SUM(D22:D27)</f>
        <v>238686.46</v>
      </c>
      <c r="E28" s="72">
        <v>2872812.7</v>
      </c>
      <c r="F28" s="72">
        <v>1050220.4</v>
      </c>
      <c r="G28" s="150">
        <v>1193446.16</v>
      </c>
      <c r="H28" s="64">
        <v>1669.6000000000931</v>
      </c>
      <c r="I28" s="8">
        <v>-21780.430000000113</v>
      </c>
      <c r="J28" s="392"/>
      <c r="K28" s="133">
        <v>239401.05833333332</v>
      </c>
      <c r="L28" s="180"/>
      <c r="M28" s="198">
        <v>20110.83</v>
      </c>
      <c r="N28" s="292">
        <f>N24+N27</f>
        <v>24042.75</v>
      </c>
      <c r="O28" s="231">
        <f aca="true" t="shared" si="45" ref="O28:AT28">O22+O23+O24+O25+O26+O27</f>
        <v>1028940</v>
      </c>
      <c r="P28" s="231">
        <f t="shared" si="45"/>
        <v>2189430</v>
      </c>
      <c r="Q28" s="378">
        <f t="shared" si="45"/>
        <v>4130290</v>
      </c>
      <c r="R28" s="348">
        <f t="shared" si="45"/>
        <v>987890</v>
      </c>
      <c r="S28" s="348">
        <f t="shared" si="45"/>
        <v>965200</v>
      </c>
      <c r="T28" s="348">
        <f t="shared" si="45"/>
        <v>1148260</v>
      </c>
      <c r="U28" s="365">
        <f t="shared" si="45"/>
        <v>320686.17999999993</v>
      </c>
      <c r="V28" s="365">
        <f t="shared" si="45"/>
        <v>0</v>
      </c>
      <c r="W28" s="365">
        <f t="shared" si="45"/>
        <v>190939.69</v>
      </c>
      <c r="X28" s="365">
        <f t="shared" si="45"/>
        <v>314457.55</v>
      </c>
      <c r="Y28" s="365">
        <f t="shared" si="45"/>
        <v>274489.42</v>
      </c>
      <c r="Z28" s="365">
        <f t="shared" si="45"/>
        <v>9.47</v>
      </c>
      <c r="AA28" s="365">
        <f t="shared" si="45"/>
        <v>358276.12</v>
      </c>
      <c r="AB28" s="365">
        <f t="shared" si="45"/>
        <v>0</v>
      </c>
      <c r="AC28" s="423">
        <f t="shared" si="45"/>
        <v>0</v>
      </c>
      <c r="AD28" s="421">
        <f t="shared" si="45"/>
        <v>993419.8499999999</v>
      </c>
      <c r="AE28" s="421">
        <f t="shared" si="45"/>
        <v>274489.42</v>
      </c>
      <c r="AF28" s="452">
        <f t="shared" si="45"/>
        <v>190949.16</v>
      </c>
      <c r="AG28" s="423">
        <f t="shared" si="45"/>
        <v>317478.43000000005</v>
      </c>
      <c r="AH28" s="423">
        <f t="shared" si="45"/>
        <v>59671.61</v>
      </c>
      <c r="AI28" s="423">
        <f t="shared" si="45"/>
        <v>274477.68</v>
      </c>
      <c r="AJ28" s="423">
        <f t="shared" si="45"/>
        <v>342911.9</v>
      </c>
      <c r="AK28" s="423">
        <f t="shared" si="45"/>
        <v>143211.87</v>
      </c>
      <c r="AL28" s="423">
        <f t="shared" si="45"/>
        <v>11.74</v>
      </c>
      <c r="AM28" s="423">
        <f t="shared" si="45"/>
        <v>317477.28</v>
      </c>
      <c r="AN28" s="423">
        <f t="shared" si="45"/>
        <v>95474.58</v>
      </c>
      <c r="AO28" s="365">
        <f t="shared" si="45"/>
        <v>59671.61</v>
      </c>
      <c r="AP28" s="452">
        <f t="shared" si="45"/>
        <v>977867.6100000001</v>
      </c>
      <c r="AQ28" s="452">
        <f t="shared" si="45"/>
        <v>298358.06</v>
      </c>
      <c r="AR28" s="421">
        <f t="shared" si="45"/>
        <v>334161.02999999997</v>
      </c>
      <c r="AS28" s="423">
        <f t="shared" si="45"/>
        <v>349497.91000000003</v>
      </c>
      <c r="AT28" s="365">
        <f t="shared" si="45"/>
        <v>143211.87</v>
      </c>
      <c r="AU28" s="479">
        <f aca="true" t="shared" si="46" ref="AU28:BV28">AU22+AU23+AU24+AU25+AU26+AU27</f>
        <v>143211.87</v>
      </c>
      <c r="AV28" s="423">
        <f t="shared" si="46"/>
        <v>325714.53</v>
      </c>
      <c r="AW28" s="423">
        <f t="shared" si="46"/>
        <v>95474.58</v>
      </c>
      <c r="AX28" s="365">
        <f t="shared" si="46"/>
        <v>95473.7</v>
      </c>
      <c r="AY28" s="423">
        <f t="shared" si="46"/>
        <v>343993.14</v>
      </c>
      <c r="AZ28" s="423">
        <f t="shared" si="46"/>
        <v>47737.29</v>
      </c>
      <c r="BA28" s="365">
        <f t="shared" si="46"/>
        <v>143205.31</v>
      </c>
      <c r="BB28" s="365">
        <f t="shared" si="46"/>
        <v>1019205.5800000001</v>
      </c>
      <c r="BC28" s="365">
        <f t="shared" si="46"/>
        <v>286423.74</v>
      </c>
      <c r="BD28" s="365">
        <f t="shared" si="46"/>
        <v>381890.88</v>
      </c>
      <c r="BE28" s="365">
        <f t="shared" si="46"/>
        <v>348076.69999999995</v>
      </c>
      <c r="BF28" s="365">
        <f t="shared" si="46"/>
        <v>95474.58</v>
      </c>
      <c r="BG28" s="365">
        <f t="shared" si="46"/>
        <v>95470.05</v>
      </c>
      <c r="BH28" s="365">
        <f t="shared" si="46"/>
        <v>315396.79000000004</v>
      </c>
      <c r="BI28" s="365">
        <f t="shared" si="46"/>
        <v>143211.87</v>
      </c>
      <c r="BJ28" s="365">
        <f t="shared" si="46"/>
        <v>47749.26</v>
      </c>
      <c r="BK28" s="365">
        <f t="shared" si="46"/>
        <v>0</v>
      </c>
      <c r="BL28" s="365">
        <f t="shared" si="46"/>
        <v>0</v>
      </c>
      <c r="BM28" s="423">
        <f t="shared" si="46"/>
        <v>0</v>
      </c>
      <c r="BN28" s="423">
        <f t="shared" si="46"/>
        <v>663473.4899999999</v>
      </c>
      <c r="BO28" s="423">
        <f t="shared" si="46"/>
        <v>238686.45</v>
      </c>
      <c r="BP28" s="423">
        <f t="shared" si="46"/>
        <v>143219.31</v>
      </c>
      <c r="BQ28" s="423">
        <f t="shared" si="46"/>
        <v>3653966.5300000003</v>
      </c>
      <c r="BR28" s="423">
        <f t="shared" si="46"/>
        <v>1097957.67</v>
      </c>
      <c r="BS28" s="365">
        <f t="shared" si="46"/>
        <v>1050220.38</v>
      </c>
      <c r="BT28" s="411">
        <f t="shared" si="46"/>
        <v>202902.33000000007</v>
      </c>
      <c r="BU28" s="365">
        <f t="shared" si="46"/>
        <v>285355.4599999997</v>
      </c>
      <c r="BV28" s="365">
        <f t="shared" si="46"/>
        <v>83540.26000000001</v>
      </c>
      <c r="BW28" s="404">
        <f>BW24+BW27</f>
        <v>24042.75</v>
      </c>
      <c r="BX28" s="470">
        <v>-47454.47</v>
      </c>
      <c r="BY28" s="470">
        <f>BY22+BY23+BY24+BY25+BY26+BY27</f>
        <v>684044.9600000003</v>
      </c>
      <c r="BZ28" s="529">
        <f t="shared" si="5"/>
        <v>2982030</v>
      </c>
      <c r="CA28" s="133">
        <f t="shared" si="6"/>
        <v>332178.77545454545</v>
      </c>
      <c r="CB28" s="475"/>
    </row>
    <row r="29" spans="1:80" s="1" customFormat="1" ht="17.25" customHeight="1">
      <c r="A29" s="716" t="s">
        <v>17</v>
      </c>
      <c r="B29" s="7" t="s">
        <v>24</v>
      </c>
      <c r="C29" s="81">
        <v>0</v>
      </c>
      <c r="D29" s="51"/>
      <c r="E29" s="104">
        <v>0</v>
      </c>
      <c r="F29" s="105">
        <v>0</v>
      </c>
      <c r="G29" s="146">
        <v>8403.31</v>
      </c>
      <c r="H29" s="137"/>
      <c r="I29" s="98">
        <v>0</v>
      </c>
      <c r="J29" s="389"/>
      <c r="K29" s="133">
        <v>0</v>
      </c>
      <c r="L29" s="176"/>
      <c r="M29" s="171"/>
      <c r="N29" s="291"/>
      <c r="O29" s="232"/>
      <c r="P29" s="242"/>
      <c r="Q29" s="249">
        <f>O29+P29</f>
        <v>0</v>
      </c>
      <c r="R29" s="242"/>
      <c r="S29" s="242"/>
      <c r="T29" s="242"/>
      <c r="U29" s="311"/>
      <c r="V29" s="312"/>
      <c r="W29" s="313"/>
      <c r="X29" s="311"/>
      <c r="Y29" s="312"/>
      <c r="Z29" s="313"/>
      <c r="AA29" s="311"/>
      <c r="AB29" s="312"/>
      <c r="AC29" s="313"/>
      <c r="AD29" s="104">
        <f aca="true" t="shared" si="47" ref="AD29:AF31">U29+X29+AA29</f>
        <v>0</v>
      </c>
      <c r="AE29" s="105">
        <f t="shared" si="47"/>
        <v>0</v>
      </c>
      <c r="AF29" s="449">
        <f t="shared" si="47"/>
        <v>0</v>
      </c>
      <c r="AG29" s="311"/>
      <c r="AH29" s="312"/>
      <c r="AI29" s="313"/>
      <c r="AJ29" s="311"/>
      <c r="AK29" s="312"/>
      <c r="AL29" s="314"/>
      <c r="AM29" s="311"/>
      <c r="AN29" s="312"/>
      <c r="AO29" s="314"/>
      <c r="AP29" s="267">
        <f aca="true" t="shared" si="48" ref="AP29:AR31">AG29+AJ29+AM29</f>
        <v>0</v>
      </c>
      <c r="AQ29" s="268">
        <f t="shared" si="48"/>
        <v>0</v>
      </c>
      <c r="AR29" s="482">
        <f t="shared" si="48"/>
        <v>0</v>
      </c>
      <c r="AS29" s="311"/>
      <c r="AT29" s="314"/>
      <c r="AU29" s="356"/>
      <c r="AV29" s="311"/>
      <c r="AW29" s="312"/>
      <c r="AX29" s="314"/>
      <c r="AY29" s="311"/>
      <c r="AZ29" s="312"/>
      <c r="BA29" s="314"/>
      <c r="BB29" s="267">
        <f aca="true" t="shared" si="49" ref="BB29:BD31">AS29+AV29+AY29</f>
        <v>0</v>
      </c>
      <c r="BC29" s="268">
        <f t="shared" si="49"/>
        <v>0</v>
      </c>
      <c r="BD29" s="462">
        <f t="shared" si="49"/>
        <v>0</v>
      </c>
      <c r="BE29" s="311"/>
      <c r="BF29" s="312"/>
      <c r="BG29" s="314"/>
      <c r="BH29" s="311"/>
      <c r="BI29" s="312"/>
      <c r="BJ29" s="314"/>
      <c r="BK29" s="311"/>
      <c r="BL29" s="312"/>
      <c r="BM29" s="313"/>
      <c r="BN29" s="311">
        <f aca="true" t="shared" si="50" ref="BN29:BP31">BE29+BH29+BK29</f>
        <v>0</v>
      </c>
      <c r="BO29" s="312">
        <f t="shared" si="50"/>
        <v>0</v>
      </c>
      <c r="BP29" s="313">
        <f t="shared" si="50"/>
        <v>0</v>
      </c>
      <c r="BQ29" s="360">
        <f aca="true" t="shared" si="51" ref="BQ29:BS31">AD29+AP29+BB29+BN29</f>
        <v>0</v>
      </c>
      <c r="BR29" s="361">
        <f t="shared" si="51"/>
        <v>0</v>
      </c>
      <c r="BS29" s="419">
        <f t="shared" si="51"/>
        <v>0</v>
      </c>
      <c r="BT29" s="485"/>
      <c r="BU29" s="356"/>
      <c r="BV29" s="32"/>
      <c r="BW29" s="403"/>
      <c r="BX29" s="472"/>
      <c r="BY29" s="490"/>
      <c r="BZ29" s="529">
        <f t="shared" si="5"/>
        <v>0</v>
      </c>
      <c r="CA29" s="133">
        <f t="shared" si="6"/>
        <v>0</v>
      </c>
      <c r="CB29" s="475"/>
    </row>
    <row r="30" spans="1:80" s="1" customFormat="1" ht="17.25" customHeight="1">
      <c r="A30" s="718"/>
      <c r="B30" s="7" t="s">
        <v>23</v>
      </c>
      <c r="C30" s="81">
        <f>87350+6000</f>
        <v>93350</v>
      </c>
      <c r="D30" s="51">
        <v>10949.92</v>
      </c>
      <c r="E30" s="104">
        <v>86017.53</v>
      </c>
      <c r="F30" s="105">
        <v>93305.1</v>
      </c>
      <c r="G30" s="146">
        <v>73094.1</v>
      </c>
      <c r="H30" s="137">
        <v>44.89999999999418</v>
      </c>
      <c r="I30" s="98"/>
      <c r="J30" s="389">
        <v>18238.76</v>
      </c>
      <c r="K30" s="133">
        <v>7168.1275</v>
      </c>
      <c r="L30" s="176"/>
      <c r="M30" s="32">
        <v>-44.89999999999418</v>
      </c>
      <c r="N30" s="291"/>
      <c r="O30" s="229">
        <v>22250</v>
      </c>
      <c r="P30" s="240">
        <v>40050</v>
      </c>
      <c r="Q30" s="247">
        <f aca="true" t="shared" si="52" ref="Q30:Q37">O30+R30+S30+T30</f>
        <v>77800</v>
      </c>
      <c r="R30" s="240">
        <v>22750</v>
      </c>
      <c r="S30" s="240">
        <f>17300+3600</f>
        <v>20900</v>
      </c>
      <c r="T30" s="240">
        <v>11900</v>
      </c>
      <c r="U30" s="311">
        <v>10247.29</v>
      </c>
      <c r="V30" s="312"/>
      <c r="W30" s="313">
        <v>8163.67</v>
      </c>
      <c r="X30" s="311">
        <v>9251.99</v>
      </c>
      <c r="Y30" s="312">
        <v>6227.71</v>
      </c>
      <c r="Z30" s="313">
        <v>12026.73</v>
      </c>
      <c r="AA30" s="311">
        <v>4589.23</v>
      </c>
      <c r="AB30" s="312">
        <v>1085.53</v>
      </c>
      <c r="AC30" s="313"/>
      <c r="AD30" s="104">
        <f t="shared" si="47"/>
        <v>24088.51</v>
      </c>
      <c r="AE30" s="105">
        <f t="shared" si="47"/>
        <v>7313.24</v>
      </c>
      <c r="AF30" s="449">
        <f t="shared" si="47"/>
        <v>20190.4</v>
      </c>
      <c r="AG30" s="311">
        <v>7757.49</v>
      </c>
      <c r="AH30" s="312">
        <v>7741.79</v>
      </c>
      <c r="AI30" s="313">
        <v>6227.71</v>
      </c>
      <c r="AJ30" s="311">
        <v>13522.63</v>
      </c>
      <c r="AK30" s="312">
        <v>18550.14</v>
      </c>
      <c r="AL30" s="314">
        <v>1085.53</v>
      </c>
      <c r="AM30" s="311">
        <v>5758.43</v>
      </c>
      <c r="AN30" s="312">
        <v>10250.29</v>
      </c>
      <c r="AO30" s="314">
        <v>7741.79</v>
      </c>
      <c r="AP30" s="267">
        <f t="shared" si="48"/>
        <v>27038.55</v>
      </c>
      <c r="AQ30" s="268">
        <f t="shared" si="48"/>
        <v>36542.22</v>
      </c>
      <c r="AR30" s="482">
        <f t="shared" si="48"/>
        <v>15055.029999999999</v>
      </c>
      <c r="AS30" s="311">
        <v>6277.01</v>
      </c>
      <c r="AT30" s="314">
        <v>8827.05</v>
      </c>
      <c r="AU30" s="356">
        <v>18550.14</v>
      </c>
      <c r="AV30" s="311">
        <v>9269.77</v>
      </c>
      <c r="AW30" s="312"/>
      <c r="AX30" s="314">
        <v>10250.29</v>
      </c>
      <c r="AY30" s="311">
        <v>3861.42</v>
      </c>
      <c r="AZ30" s="312"/>
      <c r="BA30" s="314">
        <v>8827.05</v>
      </c>
      <c r="BB30" s="267">
        <f t="shared" si="49"/>
        <v>19408.2</v>
      </c>
      <c r="BC30" s="268">
        <f t="shared" si="49"/>
        <v>8827.05</v>
      </c>
      <c r="BD30" s="462">
        <f t="shared" si="49"/>
        <v>37627.479999999996</v>
      </c>
      <c r="BE30" s="311">
        <v>8109.4</v>
      </c>
      <c r="BF30" s="312">
        <v>21270.59</v>
      </c>
      <c r="BG30" s="314"/>
      <c r="BH30" s="311">
        <v>7778.46</v>
      </c>
      <c r="BI30" s="312">
        <v>3841.96</v>
      </c>
      <c r="BJ30" s="314"/>
      <c r="BK30" s="311"/>
      <c r="BL30" s="312"/>
      <c r="BM30" s="313"/>
      <c r="BN30" s="311">
        <f t="shared" si="50"/>
        <v>15887.86</v>
      </c>
      <c r="BO30" s="312">
        <f t="shared" si="50"/>
        <v>25112.55</v>
      </c>
      <c r="BP30" s="313">
        <f t="shared" si="50"/>
        <v>0</v>
      </c>
      <c r="BQ30" s="360">
        <f t="shared" si="51"/>
        <v>86423.12</v>
      </c>
      <c r="BR30" s="361">
        <f t="shared" si="51"/>
        <v>77795.06</v>
      </c>
      <c r="BS30" s="419">
        <f t="shared" si="51"/>
        <v>72872.91</v>
      </c>
      <c r="BT30" s="485">
        <f>Q30-BR30</f>
        <v>4.940000000002328</v>
      </c>
      <c r="BU30" s="356"/>
      <c r="BV30" s="32">
        <f>J30+BR30-BQ30</f>
        <v>9610.699999999997</v>
      </c>
      <c r="BW30" s="403"/>
      <c r="BX30" s="469">
        <v>-14936.76</v>
      </c>
      <c r="BY30" s="489">
        <f>BR30-BZ30</f>
        <v>11895.059999999998</v>
      </c>
      <c r="BZ30" s="529">
        <f t="shared" si="5"/>
        <v>65900</v>
      </c>
      <c r="CA30" s="133">
        <f t="shared" si="6"/>
        <v>7856.647272727272</v>
      </c>
      <c r="CB30" s="475">
        <v>8000</v>
      </c>
    </row>
    <row r="31" spans="1:80" s="1" customFormat="1" ht="17.25" customHeight="1" thickBot="1">
      <c r="A31" s="718"/>
      <c r="B31" s="22" t="s">
        <v>25</v>
      </c>
      <c r="C31" s="83">
        <v>470</v>
      </c>
      <c r="D31" s="52">
        <v>171.97</v>
      </c>
      <c r="E31" s="104">
        <v>484.59</v>
      </c>
      <c r="F31" s="105">
        <v>402</v>
      </c>
      <c r="G31" s="146">
        <v>285.71</v>
      </c>
      <c r="H31" s="137">
        <v>68</v>
      </c>
      <c r="I31" s="98"/>
      <c r="J31" s="389">
        <v>89.37</v>
      </c>
      <c r="K31" s="133">
        <v>40.3825</v>
      </c>
      <c r="L31" s="177"/>
      <c r="M31" s="38">
        <v>-68</v>
      </c>
      <c r="N31" s="291"/>
      <c r="O31" s="233">
        <v>120</v>
      </c>
      <c r="P31" s="240">
        <v>220</v>
      </c>
      <c r="Q31" s="247">
        <f t="shared" si="52"/>
        <v>340</v>
      </c>
      <c r="R31" s="240">
        <v>120</v>
      </c>
      <c r="S31" s="240">
        <v>100</v>
      </c>
      <c r="T31" s="240">
        <v>0</v>
      </c>
      <c r="U31" s="311">
        <v>62.66</v>
      </c>
      <c r="V31" s="312"/>
      <c r="W31" s="313"/>
      <c r="X31" s="311">
        <v>44.92</v>
      </c>
      <c r="Y31" s="312">
        <v>39.48</v>
      </c>
      <c r="Z31" s="313"/>
      <c r="AA31" s="311">
        <v>18.03</v>
      </c>
      <c r="AB31" s="312"/>
      <c r="AC31" s="313"/>
      <c r="AD31" s="104">
        <f t="shared" si="47"/>
        <v>125.61</v>
      </c>
      <c r="AE31" s="105">
        <f t="shared" si="47"/>
        <v>39.48</v>
      </c>
      <c r="AF31" s="449">
        <f t="shared" si="47"/>
        <v>0</v>
      </c>
      <c r="AG31" s="311">
        <v>1.5</v>
      </c>
      <c r="AH31" s="312"/>
      <c r="AI31" s="313">
        <v>39.48</v>
      </c>
      <c r="AJ31" s="311"/>
      <c r="AK31" s="312"/>
      <c r="AL31" s="314"/>
      <c r="AM31" s="311"/>
      <c r="AN31" s="312"/>
      <c r="AO31" s="314"/>
      <c r="AP31" s="458">
        <f t="shared" si="48"/>
        <v>1.5</v>
      </c>
      <c r="AQ31" s="459">
        <f t="shared" si="48"/>
        <v>0</v>
      </c>
      <c r="AR31" s="483">
        <f t="shared" si="48"/>
        <v>39.48</v>
      </c>
      <c r="AS31" s="311">
        <v>68.91</v>
      </c>
      <c r="AT31" s="314">
        <v>251.69</v>
      </c>
      <c r="AU31" s="356"/>
      <c r="AV31" s="311">
        <v>37.1</v>
      </c>
      <c r="AW31" s="312"/>
      <c r="AX31" s="314"/>
      <c r="AY31" s="311">
        <v>46.36</v>
      </c>
      <c r="AZ31" s="312"/>
      <c r="BA31" s="314">
        <v>251.69</v>
      </c>
      <c r="BB31" s="458">
        <f t="shared" si="49"/>
        <v>152.37</v>
      </c>
      <c r="BC31" s="459">
        <f t="shared" si="49"/>
        <v>251.69</v>
      </c>
      <c r="BD31" s="463">
        <f t="shared" si="49"/>
        <v>251.69</v>
      </c>
      <c r="BE31" s="311">
        <v>57.05</v>
      </c>
      <c r="BF31" s="312">
        <v>33.79</v>
      </c>
      <c r="BG31" s="314"/>
      <c r="BH31" s="311">
        <v>26.71</v>
      </c>
      <c r="BI31" s="312"/>
      <c r="BJ31" s="314"/>
      <c r="BK31" s="311"/>
      <c r="BL31" s="312"/>
      <c r="BM31" s="313"/>
      <c r="BN31" s="311">
        <f t="shared" si="50"/>
        <v>83.75999999999999</v>
      </c>
      <c r="BO31" s="312">
        <f t="shared" si="50"/>
        <v>33.79</v>
      </c>
      <c r="BP31" s="313">
        <f t="shared" si="50"/>
        <v>0</v>
      </c>
      <c r="BQ31" s="360">
        <f t="shared" si="51"/>
        <v>363.24</v>
      </c>
      <c r="BR31" s="361">
        <f t="shared" si="51"/>
        <v>324.96000000000004</v>
      </c>
      <c r="BS31" s="419">
        <f t="shared" si="51"/>
        <v>291.17</v>
      </c>
      <c r="BT31" s="485">
        <f>Q31-BR31</f>
        <v>15.039999999999964</v>
      </c>
      <c r="BU31" s="356"/>
      <c r="BV31" s="32">
        <f>J31+BR31-BQ31</f>
        <v>51.09000000000003</v>
      </c>
      <c r="BW31" s="403"/>
      <c r="BX31" s="469">
        <v>-80.52</v>
      </c>
      <c r="BY31" s="489">
        <f>BR31-BZ31</f>
        <v>-15.039999999999964</v>
      </c>
      <c r="BZ31" s="529">
        <f t="shared" si="5"/>
        <v>340</v>
      </c>
      <c r="CA31" s="133">
        <f t="shared" si="6"/>
        <v>33.02181818181818</v>
      </c>
      <c r="CB31" s="475">
        <v>50</v>
      </c>
    </row>
    <row r="32" spans="1:80" s="1" customFormat="1" ht="19.5" customHeight="1" thickBot="1">
      <c r="A32" s="719" t="s">
        <v>18</v>
      </c>
      <c r="B32" s="720"/>
      <c r="C32" s="84">
        <f>C29+C30+C31</f>
        <v>93820</v>
      </c>
      <c r="D32" s="56">
        <f>D30+D31</f>
        <v>11121.89</v>
      </c>
      <c r="E32" s="70">
        <v>86502.12</v>
      </c>
      <c r="F32" s="70">
        <v>93707.1</v>
      </c>
      <c r="G32" s="148">
        <v>81783.12</v>
      </c>
      <c r="H32" s="62">
        <v>112.89999999999418</v>
      </c>
      <c r="I32" s="65">
        <v>0</v>
      </c>
      <c r="J32" s="390">
        <f>J30+J31</f>
        <v>18328.129999999997</v>
      </c>
      <c r="K32" s="133">
        <v>7208.51</v>
      </c>
      <c r="L32" s="183"/>
      <c r="M32" s="197">
        <v>-112.89999999999418</v>
      </c>
      <c r="N32" s="291"/>
      <c r="O32" s="231">
        <f>O30+O31</f>
        <v>22370</v>
      </c>
      <c r="P32" s="244">
        <f>P30+P31</f>
        <v>40270</v>
      </c>
      <c r="Q32" s="379">
        <f t="shared" si="52"/>
        <v>78140</v>
      </c>
      <c r="R32" s="349">
        <f aca="true" t="shared" si="53" ref="R32:AW32">R30+R31</f>
        <v>22870</v>
      </c>
      <c r="S32" s="349">
        <f t="shared" si="53"/>
        <v>21000</v>
      </c>
      <c r="T32" s="349">
        <f t="shared" si="53"/>
        <v>11900</v>
      </c>
      <c r="U32" s="366">
        <f t="shared" si="53"/>
        <v>10309.95</v>
      </c>
      <c r="V32" s="366">
        <f t="shared" si="53"/>
        <v>0</v>
      </c>
      <c r="W32" s="366">
        <f t="shared" si="53"/>
        <v>8163.67</v>
      </c>
      <c r="X32" s="366">
        <f t="shared" si="53"/>
        <v>9296.91</v>
      </c>
      <c r="Y32" s="366">
        <f t="shared" si="53"/>
        <v>6267.19</v>
      </c>
      <c r="Z32" s="366">
        <f t="shared" si="53"/>
        <v>12026.73</v>
      </c>
      <c r="AA32" s="366">
        <f t="shared" si="53"/>
        <v>4607.259999999999</v>
      </c>
      <c r="AB32" s="366">
        <f t="shared" si="53"/>
        <v>1085.53</v>
      </c>
      <c r="AC32" s="424">
        <f t="shared" si="53"/>
        <v>0</v>
      </c>
      <c r="AD32" s="453">
        <f t="shared" si="53"/>
        <v>24214.12</v>
      </c>
      <c r="AE32" s="453">
        <f t="shared" si="53"/>
        <v>7352.719999999999</v>
      </c>
      <c r="AF32" s="454">
        <f t="shared" si="53"/>
        <v>20190.4</v>
      </c>
      <c r="AG32" s="424">
        <f t="shared" si="53"/>
        <v>7758.99</v>
      </c>
      <c r="AH32" s="424">
        <f t="shared" si="53"/>
        <v>7741.79</v>
      </c>
      <c r="AI32" s="424">
        <f t="shared" si="53"/>
        <v>6267.19</v>
      </c>
      <c r="AJ32" s="424">
        <f t="shared" si="53"/>
        <v>13522.63</v>
      </c>
      <c r="AK32" s="424">
        <f t="shared" si="53"/>
        <v>18550.14</v>
      </c>
      <c r="AL32" s="424">
        <f t="shared" si="53"/>
        <v>1085.53</v>
      </c>
      <c r="AM32" s="424">
        <f t="shared" si="53"/>
        <v>5758.43</v>
      </c>
      <c r="AN32" s="424">
        <f t="shared" si="53"/>
        <v>10250.29</v>
      </c>
      <c r="AO32" s="366">
        <f t="shared" si="53"/>
        <v>7741.79</v>
      </c>
      <c r="AP32" s="452">
        <f t="shared" si="53"/>
        <v>27040.05</v>
      </c>
      <c r="AQ32" s="452">
        <f t="shared" si="53"/>
        <v>36542.22</v>
      </c>
      <c r="AR32" s="421">
        <f t="shared" si="53"/>
        <v>15094.509999999998</v>
      </c>
      <c r="AS32" s="424">
        <f t="shared" si="53"/>
        <v>6345.92</v>
      </c>
      <c r="AT32" s="366">
        <f t="shared" si="53"/>
        <v>9078.74</v>
      </c>
      <c r="AU32" s="480">
        <f t="shared" si="53"/>
        <v>18550.14</v>
      </c>
      <c r="AV32" s="424">
        <f t="shared" si="53"/>
        <v>9306.87</v>
      </c>
      <c r="AW32" s="424">
        <f t="shared" si="53"/>
        <v>0</v>
      </c>
      <c r="AX32" s="366">
        <f aca="true" t="shared" si="54" ref="AX32:BV32">AX30+AX31</f>
        <v>10250.29</v>
      </c>
      <c r="AY32" s="424">
        <f t="shared" si="54"/>
        <v>3907.78</v>
      </c>
      <c r="AZ32" s="424">
        <f t="shared" si="54"/>
        <v>0</v>
      </c>
      <c r="BA32" s="366">
        <f t="shared" si="54"/>
        <v>9078.74</v>
      </c>
      <c r="BB32" s="366">
        <f t="shared" si="54"/>
        <v>19560.57</v>
      </c>
      <c r="BC32" s="366">
        <f t="shared" si="54"/>
        <v>9078.74</v>
      </c>
      <c r="BD32" s="366">
        <f t="shared" si="54"/>
        <v>37879.17</v>
      </c>
      <c r="BE32" s="366">
        <f t="shared" si="54"/>
        <v>8166.45</v>
      </c>
      <c r="BF32" s="366">
        <f t="shared" si="54"/>
        <v>21304.38</v>
      </c>
      <c r="BG32" s="366">
        <f t="shared" si="54"/>
        <v>0</v>
      </c>
      <c r="BH32" s="366">
        <f t="shared" si="54"/>
        <v>7805.17</v>
      </c>
      <c r="BI32" s="366">
        <f t="shared" si="54"/>
        <v>3841.96</v>
      </c>
      <c r="BJ32" s="366">
        <f t="shared" si="54"/>
        <v>0</v>
      </c>
      <c r="BK32" s="366">
        <f t="shared" si="54"/>
        <v>0</v>
      </c>
      <c r="BL32" s="366">
        <f t="shared" si="54"/>
        <v>0</v>
      </c>
      <c r="BM32" s="424">
        <f t="shared" si="54"/>
        <v>0</v>
      </c>
      <c r="BN32" s="424">
        <f t="shared" si="54"/>
        <v>15971.62</v>
      </c>
      <c r="BO32" s="424">
        <f t="shared" si="54"/>
        <v>25146.34</v>
      </c>
      <c r="BP32" s="424">
        <f t="shared" si="54"/>
        <v>0</v>
      </c>
      <c r="BQ32" s="424">
        <f t="shared" si="54"/>
        <v>86786.36</v>
      </c>
      <c r="BR32" s="424">
        <f t="shared" si="54"/>
        <v>78120.02</v>
      </c>
      <c r="BS32" s="366">
        <f t="shared" si="54"/>
        <v>73164.08</v>
      </c>
      <c r="BT32" s="416">
        <f t="shared" si="54"/>
        <v>19.980000000002292</v>
      </c>
      <c r="BU32" s="366">
        <f t="shared" si="54"/>
        <v>0</v>
      </c>
      <c r="BV32" s="366">
        <f t="shared" si="54"/>
        <v>9661.789999999997</v>
      </c>
      <c r="BW32" s="403"/>
      <c r="BX32" s="470">
        <v>-15017.28</v>
      </c>
      <c r="BY32" s="470">
        <f>BY30+BY31</f>
        <v>11880.019999999997</v>
      </c>
      <c r="BZ32" s="529">
        <f t="shared" si="5"/>
        <v>66240</v>
      </c>
      <c r="CA32" s="133">
        <f t="shared" si="6"/>
        <v>7889.669090909091</v>
      </c>
      <c r="CB32" s="532">
        <f>CB30+CB31</f>
        <v>8050</v>
      </c>
    </row>
    <row r="33" spans="1:80" s="1" customFormat="1" ht="21.75" customHeight="1" thickBot="1">
      <c r="A33" s="719" t="s">
        <v>26</v>
      </c>
      <c r="B33" s="720"/>
      <c r="C33" s="86">
        <f>681270+42080+59980</f>
        <v>783330</v>
      </c>
      <c r="D33" s="57"/>
      <c r="E33" s="104">
        <v>760101.18</v>
      </c>
      <c r="F33" s="105">
        <v>0</v>
      </c>
      <c r="G33" s="146">
        <v>0</v>
      </c>
      <c r="H33" s="137"/>
      <c r="I33" s="98">
        <v>23228.81999999995</v>
      </c>
      <c r="J33" s="389"/>
      <c r="K33" s="133">
        <v>63341.76500000001</v>
      </c>
      <c r="L33" s="184"/>
      <c r="M33" s="197">
        <v>-23228.81999999995</v>
      </c>
      <c r="N33" s="291"/>
      <c r="O33" s="234">
        <v>195970</v>
      </c>
      <c r="P33" s="227">
        <v>382140</v>
      </c>
      <c r="Q33" s="380">
        <f t="shared" si="52"/>
        <v>755320</v>
      </c>
      <c r="R33" s="227">
        <v>188030</v>
      </c>
      <c r="S33" s="227">
        <f>192000+6610</f>
        <v>198610</v>
      </c>
      <c r="T33" s="252">
        <f>2110+68600+102000</f>
        <v>172710</v>
      </c>
      <c r="U33" s="311">
        <v>82397.49</v>
      </c>
      <c r="V33" s="312"/>
      <c r="W33" s="313"/>
      <c r="X33" s="311">
        <v>57595.07</v>
      </c>
      <c r="Y33" s="312"/>
      <c r="Z33" s="313"/>
      <c r="AA33" s="311">
        <v>55907.68</v>
      </c>
      <c r="AB33" s="312"/>
      <c r="AC33" s="313"/>
      <c r="AD33" s="104">
        <f aca="true" t="shared" si="55" ref="AD33:AF34">U33+X33+AA33</f>
        <v>195900.24</v>
      </c>
      <c r="AE33" s="105">
        <f t="shared" si="55"/>
        <v>0</v>
      </c>
      <c r="AF33" s="449">
        <f t="shared" si="55"/>
        <v>0</v>
      </c>
      <c r="AG33" s="311">
        <v>52203.81</v>
      </c>
      <c r="AH33" s="312"/>
      <c r="AI33" s="313"/>
      <c r="AJ33" s="311">
        <v>78101.97</v>
      </c>
      <c r="AK33" s="312"/>
      <c r="AL33" s="314"/>
      <c r="AM33" s="311">
        <v>70671.03</v>
      </c>
      <c r="AN33" s="312"/>
      <c r="AO33" s="314"/>
      <c r="AP33" s="267">
        <f aca="true" t="shared" si="56" ref="AP33:AR34">AG33+AJ33+AM33</f>
        <v>200976.81</v>
      </c>
      <c r="AQ33" s="268">
        <f t="shared" si="56"/>
        <v>0</v>
      </c>
      <c r="AR33" s="482">
        <f t="shared" si="56"/>
        <v>0</v>
      </c>
      <c r="AS33" s="311">
        <v>50651.98</v>
      </c>
      <c r="AT33" s="314"/>
      <c r="AU33" s="356"/>
      <c r="AV33" s="311">
        <v>77010.45</v>
      </c>
      <c r="AW33" s="312"/>
      <c r="AX33" s="314"/>
      <c r="AY33" s="311">
        <v>43799.57</v>
      </c>
      <c r="AZ33" s="312"/>
      <c r="BA33" s="314"/>
      <c r="BB33" s="267">
        <f aca="true" t="shared" si="57" ref="BB33:BD37">AS33+AV33+AY33</f>
        <v>171462</v>
      </c>
      <c r="BC33" s="268">
        <f t="shared" si="57"/>
        <v>0</v>
      </c>
      <c r="BD33" s="462">
        <f t="shared" si="57"/>
        <v>0</v>
      </c>
      <c r="BE33" s="311">
        <v>60013.1</v>
      </c>
      <c r="BF33" s="312"/>
      <c r="BG33" s="314"/>
      <c r="BH33" s="311">
        <v>66378.82</v>
      </c>
      <c r="BI33" s="312"/>
      <c r="BJ33" s="314"/>
      <c r="BK33" s="311"/>
      <c r="BL33" s="312"/>
      <c r="BM33" s="313"/>
      <c r="BN33" s="311">
        <f aca="true" t="shared" si="58" ref="BN33:BP37">BE33+BH33+BK33</f>
        <v>126391.92000000001</v>
      </c>
      <c r="BO33" s="312">
        <f t="shared" si="58"/>
        <v>0</v>
      </c>
      <c r="BP33" s="313">
        <f t="shared" si="58"/>
        <v>0</v>
      </c>
      <c r="BQ33" s="360">
        <f aca="true" t="shared" si="59" ref="BQ33:BS37">AD33+AP33+BB33+BN33</f>
        <v>694730.9700000001</v>
      </c>
      <c r="BR33" s="361">
        <f t="shared" si="59"/>
        <v>0</v>
      </c>
      <c r="BS33" s="419">
        <f t="shared" si="59"/>
        <v>0</v>
      </c>
      <c r="BT33" s="485"/>
      <c r="BU33" s="356">
        <f>Q33-BQ33</f>
        <v>60589.02999999991</v>
      </c>
      <c r="BV33" s="32"/>
      <c r="BW33" s="403"/>
      <c r="BX33" s="469">
        <v>-69.76000000000931</v>
      </c>
      <c r="BY33" s="489">
        <f>BQ33-BZ33</f>
        <v>112120.97000000009</v>
      </c>
      <c r="BZ33" s="529">
        <f t="shared" si="5"/>
        <v>582610</v>
      </c>
      <c r="CA33" s="133">
        <f t="shared" si="6"/>
        <v>63157.360909090916</v>
      </c>
      <c r="CB33" s="532">
        <v>100000</v>
      </c>
    </row>
    <row r="34" spans="1:80" s="1" customFormat="1" ht="21" customHeight="1" thickBot="1">
      <c r="A34" s="719" t="s">
        <v>27</v>
      </c>
      <c r="B34" s="720"/>
      <c r="C34" s="86">
        <f>307880+30000</f>
        <v>337880</v>
      </c>
      <c r="D34" s="60">
        <v>67754.4</v>
      </c>
      <c r="E34" s="106">
        <v>266582.39</v>
      </c>
      <c r="F34" s="107">
        <v>337252.54</v>
      </c>
      <c r="G34" s="151">
        <v>384319.95</v>
      </c>
      <c r="H34" s="139">
        <v>627.460000000021</v>
      </c>
      <c r="I34" s="99"/>
      <c r="J34" s="385">
        <v>138424.55</v>
      </c>
      <c r="K34" s="133">
        <v>22215.19916666667</v>
      </c>
      <c r="L34" s="185"/>
      <c r="M34" s="200">
        <v>-627.460000000021</v>
      </c>
      <c r="N34" s="291"/>
      <c r="O34" s="235">
        <f>62120+27880</f>
        <v>90000</v>
      </c>
      <c r="P34" s="245">
        <f>139760-27880</f>
        <v>111880</v>
      </c>
      <c r="Q34" s="381">
        <f t="shared" si="52"/>
        <v>225380</v>
      </c>
      <c r="R34" s="245">
        <v>70000</v>
      </c>
      <c r="S34" s="245">
        <v>21880</v>
      </c>
      <c r="T34" s="245">
        <f>20000+23500</f>
        <v>43500</v>
      </c>
      <c r="U34" s="311">
        <v>17857.47</v>
      </c>
      <c r="V34" s="312"/>
      <c r="W34" s="313"/>
      <c r="X34" s="311">
        <v>16287.87</v>
      </c>
      <c r="Y34" s="312"/>
      <c r="Z34" s="313">
        <v>88916.13</v>
      </c>
      <c r="AA34" s="311">
        <v>28569.99</v>
      </c>
      <c r="AB34" s="312">
        <v>59947.82</v>
      </c>
      <c r="AC34" s="313"/>
      <c r="AD34" s="104">
        <f t="shared" si="55"/>
        <v>62715.33</v>
      </c>
      <c r="AE34" s="105">
        <f t="shared" si="55"/>
        <v>59947.82</v>
      </c>
      <c r="AF34" s="449">
        <f t="shared" si="55"/>
        <v>88916.13</v>
      </c>
      <c r="AG34" s="311">
        <v>28487.15</v>
      </c>
      <c r="AH34" s="312"/>
      <c r="AI34" s="313"/>
      <c r="AJ34" s="311">
        <v>32209.5</v>
      </c>
      <c r="AK34" s="312">
        <v>61932.71</v>
      </c>
      <c r="AL34" s="314">
        <v>59947.82</v>
      </c>
      <c r="AM34" s="311">
        <v>14402.17</v>
      </c>
      <c r="AN34" s="312"/>
      <c r="AO34" s="314"/>
      <c r="AP34" s="267">
        <f t="shared" si="56"/>
        <v>75098.82</v>
      </c>
      <c r="AQ34" s="268">
        <f t="shared" si="56"/>
        <v>61932.71</v>
      </c>
      <c r="AR34" s="482">
        <f t="shared" si="56"/>
        <v>59947.82</v>
      </c>
      <c r="AS34" s="311">
        <v>24419.27</v>
      </c>
      <c r="AT34" s="314"/>
      <c r="AU34" s="356">
        <v>61932.71</v>
      </c>
      <c r="AV34" s="311">
        <v>12371.5</v>
      </c>
      <c r="AW34" s="312"/>
      <c r="AX34" s="314"/>
      <c r="AY34" s="311">
        <v>22966.3</v>
      </c>
      <c r="AZ34" s="312">
        <v>68789.9</v>
      </c>
      <c r="BA34" s="314"/>
      <c r="BB34" s="267">
        <f t="shared" si="57"/>
        <v>59757.07000000001</v>
      </c>
      <c r="BC34" s="268">
        <f t="shared" si="57"/>
        <v>68789.9</v>
      </c>
      <c r="BD34" s="462">
        <f t="shared" si="57"/>
        <v>61932.71</v>
      </c>
      <c r="BE34" s="311">
        <v>29849.65</v>
      </c>
      <c r="BF34" s="312"/>
      <c r="BG34" s="314"/>
      <c r="BH34" s="311">
        <v>26857.6</v>
      </c>
      <c r="BI34" s="312">
        <v>34592.24</v>
      </c>
      <c r="BJ34" s="314">
        <v>59993.34</v>
      </c>
      <c r="BK34" s="311"/>
      <c r="BL34" s="312"/>
      <c r="BM34" s="313"/>
      <c r="BN34" s="311">
        <f t="shared" si="58"/>
        <v>56707.25</v>
      </c>
      <c r="BO34" s="312">
        <f t="shared" si="58"/>
        <v>34592.24</v>
      </c>
      <c r="BP34" s="313">
        <f t="shared" si="58"/>
        <v>59993.34</v>
      </c>
      <c r="BQ34" s="360">
        <f t="shared" si="59"/>
        <v>254278.47000000003</v>
      </c>
      <c r="BR34" s="361">
        <f t="shared" si="59"/>
        <v>225262.66999999998</v>
      </c>
      <c r="BS34" s="419">
        <f t="shared" si="59"/>
        <v>270790</v>
      </c>
      <c r="BT34" s="485">
        <f>Q34-BR34</f>
        <v>117.3300000000163</v>
      </c>
      <c r="BU34" s="356"/>
      <c r="BV34" s="32">
        <f>J34+BR34-BQ34</f>
        <v>109408.74999999994</v>
      </c>
      <c r="BW34" s="403"/>
      <c r="BX34" s="469">
        <v>-30052.18</v>
      </c>
      <c r="BY34" s="471">
        <f>BR34-BZ34</f>
        <v>43382.669999999984</v>
      </c>
      <c r="BZ34" s="529">
        <f t="shared" si="5"/>
        <v>181880</v>
      </c>
      <c r="CA34" s="133">
        <f t="shared" si="6"/>
        <v>23116.22454545455</v>
      </c>
      <c r="CB34" s="532">
        <v>35000</v>
      </c>
    </row>
    <row r="35" spans="1:80" s="1" customFormat="1" ht="25.5" customHeight="1" thickBot="1">
      <c r="A35" s="743" t="s">
        <v>46</v>
      </c>
      <c r="B35" s="744"/>
      <c r="C35" s="86">
        <f>116064+59024+276768+4960+48112+71424+93744+28768+73408</f>
        <v>772272</v>
      </c>
      <c r="D35" s="58"/>
      <c r="E35" s="108">
        <v>727136</v>
      </c>
      <c r="F35" s="109">
        <v>0</v>
      </c>
      <c r="G35" s="152">
        <v>372996</v>
      </c>
      <c r="H35" s="140"/>
      <c r="I35" s="100">
        <v>45136</v>
      </c>
      <c r="J35" s="393"/>
      <c r="K35" s="133">
        <v>60594.666666666664</v>
      </c>
      <c r="L35" s="186"/>
      <c r="M35" s="61">
        <v>-45136</v>
      </c>
      <c r="N35" s="291"/>
      <c r="O35" s="236">
        <f>116064+110608</f>
        <v>226672</v>
      </c>
      <c r="P35" s="228">
        <v>214272</v>
      </c>
      <c r="Q35" s="213">
        <f t="shared" si="52"/>
        <v>785168</v>
      </c>
      <c r="R35" s="228">
        <v>214272</v>
      </c>
      <c r="S35" s="228">
        <f>17856+38688</f>
        <v>56544</v>
      </c>
      <c r="T35" s="254">
        <f>74400+23808+14880+32736+141856</f>
        <v>287680</v>
      </c>
      <c r="U35" s="311">
        <v>40176</v>
      </c>
      <c r="V35" s="312"/>
      <c r="W35" s="313">
        <f>38688+28772</f>
        <v>67460</v>
      </c>
      <c r="X35" s="311">
        <v>35216</v>
      </c>
      <c r="Y35" s="312"/>
      <c r="Z35" s="313">
        <v>112092</v>
      </c>
      <c r="AA35" s="311">
        <v>39680</v>
      </c>
      <c r="AB35" s="312"/>
      <c r="AC35" s="313">
        <v>35216</v>
      </c>
      <c r="AD35" s="104">
        <f>U35+X35+AA35+109120</f>
        <v>224192</v>
      </c>
      <c r="AE35" s="105">
        <f aca="true" t="shared" si="60" ref="AE35:AF37">V35+Y35+AB35</f>
        <v>0</v>
      </c>
      <c r="AF35" s="449">
        <f t="shared" si="60"/>
        <v>214768</v>
      </c>
      <c r="AG35" s="311">
        <v>26784</v>
      </c>
      <c r="AH35" s="312"/>
      <c r="AI35" s="313">
        <v>39680</v>
      </c>
      <c r="AJ35" s="311">
        <v>36208</v>
      </c>
      <c r="AK35" s="312"/>
      <c r="AL35" s="314">
        <v>26784</v>
      </c>
      <c r="AM35" s="311">
        <v>35712</v>
      </c>
      <c r="AN35" s="312"/>
      <c r="AO35" s="314">
        <v>36208</v>
      </c>
      <c r="AP35" s="267">
        <f>AG35+AJ35+AM35+66960</f>
        <v>165664</v>
      </c>
      <c r="AQ35" s="268">
        <f aca="true" t="shared" si="61" ref="AQ35:AR37">AH35+AK35+AN35</f>
        <v>0</v>
      </c>
      <c r="AR35" s="482">
        <f t="shared" si="61"/>
        <v>102672</v>
      </c>
      <c r="AS35" s="311">
        <v>32736</v>
      </c>
      <c r="AT35" s="314"/>
      <c r="AU35" s="356">
        <v>35712</v>
      </c>
      <c r="AV35" s="311">
        <v>33232</v>
      </c>
      <c r="AW35" s="312"/>
      <c r="AX35" s="314">
        <v>32736</v>
      </c>
      <c r="AY35" s="311">
        <v>30752</v>
      </c>
      <c r="AZ35" s="312"/>
      <c r="BA35" s="314">
        <f>66960+33232</f>
        <v>100192</v>
      </c>
      <c r="BB35" s="267">
        <f t="shared" si="57"/>
        <v>96720</v>
      </c>
      <c r="BC35" s="268">
        <f t="shared" si="57"/>
        <v>0</v>
      </c>
      <c r="BD35" s="462">
        <f t="shared" si="57"/>
        <v>168640</v>
      </c>
      <c r="BE35" s="311">
        <v>32736</v>
      </c>
      <c r="BF35" s="312"/>
      <c r="BG35" s="314">
        <v>30752</v>
      </c>
      <c r="BH35" s="311">
        <v>32240</v>
      </c>
      <c r="BI35" s="312"/>
      <c r="BJ35" s="314">
        <v>32736</v>
      </c>
      <c r="BK35" s="311"/>
      <c r="BL35" s="312"/>
      <c r="BM35" s="313">
        <v>32240</v>
      </c>
      <c r="BN35" s="311">
        <f t="shared" si="58"/>
        <v>64976</v>
      </c>
      <c r="BO35" s="312">
        <f t="shared" si="58"/>
        <v>0</v>
      </c>
      <c r="BP35" s="313">
        <f t="shared" si="58"/>
        <v>95728</v>
      </c>
      <c r="BQ35" s="360">
        <f>AD35+AP35+BB35+BN35+89776</f>
        <v>641328</v>
      </c>
      <c r="BR35" s="361">
        <f t="shared" si="59"/>
        <v>0</v>
      </c>
      <c r="BS35" s="419">
        <f t="shared" si="59"/>
        <v>581808</v>
      </c>
      <c r="BT35" s="485"/>
      <c r="BU35" s="356">
        <f>Q35-BQ35</f>
        <v>143840</v>
      </c>
      <c r="BV35" s="32"/>
      <c r="BW35" s="403"/>
      <c r="BX35" s="469">
        <v>-992</v>
      </c>
      <c r="BY35" s="489">
        <f>BQ35-BZ35</f>
        <v>143840</v>
      </c>
      <c r="BZ35" s="529">
        <f t="shared" si="5"/>
        <v>497488</v>
      </c>
      <c r="CA35" s="133">
        <f t="shared" si="6"/>
        <v>58302.545454545456</v>
      </c>
      <c r="CB35" s="475"/>
    </row>
    <row r="36" spans="1:80" s="1" customFormat="1" ht="18.75" customHeight="1" thickBot="1">
      <c r="A36" s="723" t="s">
        <v>36</v>
      </c>
      <c r="B36" s="724"/>
      <c r="C36" s="86">
        <f>10740+35450-24590-4000-6780</f>
        <v>10820</v>
      </c>
      <c r="D36" s="58"/>
      <c r="E36" s="108">
        <v>7714</v>
      </c>
      <c r="F36" s="109">
        <v>0</v>
      </c>
      <c r="G36" s="152">
        <v>11565</v>
      </c>
      <c r="H36" s="140"/>
      <c r="I36" s="100">
        <v>3106</v>
      </c>
      <c r="J36" s="393"/>
      <c r="K36" s="133">
        <v>642.8333333333334</v>
      </c>
      <c r="L36" s="186">
        <v>3100</v>
      </c>
      <c r="M36" s="61">
        <v>-6</v>
      </c>
      <c r="N36" s="291"/>
      <c r="O36" s="234">
        <f>2510-2510</f>
        <v>0</v>
      </c>
      <c r="P36" s="227">
        <f>6020+2510</f>
        <v>8530</v>
      </c>
      <c r="Q36" s="380">
        <f t="shared" si="52"/>
        <v>0</v>
      </c>
      <c r="R36" s="227">
        <v>0</v>
      </c>
      <c r="S36" s="227">
        <f>4260-4260</f>
        <v>0</v>
      </c>
      <c r="T36" s="252">
        <v>0</v>
      </c>
      <c r="U36" s="311">
        <v>0</v>
      </c>
      <c r="V36" s="312"/>
      <c r="W36" s="313"/>
      <c r="X36" s="311"/>
      <c r="Y36" s="312"/>
      <c r="Z36" s="313"/>
      <c r="AA36" s="311"/>
      <c r="AB36" s="312"/>
      <c r="AC36" s="313"/>
      <c r="AD36" s="104">
        <f>U36+X36+AA36</f>
        <v>0</v>
      </c>
      <c r="AE36" s="105">
        <f t="shared" si="60"/>
        <v>0</v>
      </c>
      <c r="AF36" s="449">
        <f t="shared" si="60"/>
        <v>0</v>
      </c>
      <c r="AG36" s="311"/>
      <c r="AH36" s="312"/>
      <c r="AI36" s="313"/>
      <c r="AJ36" s="311"/>
      <c r="AK36" s="312"/>
      <c r="AL36" s="314"/>
      <c r="AM36" s="311"/>
      <c r="AN36" s="312"/>
      <c r="AO36" s="314"/>
      <c r="AP36" s="267">
        <f>AG36+AJ36+AM36</f>
        <v>0</v>
      </c>
      <c r="AQ36" s="268">
        <f t="shared" si="61"/>
        <v>0</v>
      </c>
      <c r="AR36" s="482">
        <f t="shared" si="61"/>
        <v>0</v>
      </c>
      <c r="AS36" s="311">
        <v>0</v>
      </c>
      <c r="AT36" s="314"/>
      <c r="AU36" s="356"/>
      <c r="AV36" s="311"/>
      <c r="AW36" s="312"/>
      <c r="AX36" s="314"/>
      <c r="AY36" s="311"/>
      <c r="AZ36" s="312"/>
      <c r="BA36" s="314"/>
      <c r="BB36" s="267">
        <f t="shared" si="57"/>
        <v>0</v>
      </c>
      <c r="BC36" s="268">
        <f t="shared" si="57"/>
        <v>0</v>
      </c>
      <c r="BD36" s="462">
        <f t="shared" si="57"/>
        <v>0</v>
      </c>
      <c r="BE36" s="311"/>
      <c r="BF36" s="312"/>
      <c r="BG36" s="314"/>
      <c r="BH36" s="311"/>
      <c r="BI36" s="312"/>
      <c r="BJ36" s="314"/>
      <c r="BK36" s="311"/>
      <c r="BL36" s="312"/>
      <c r="BM36" s="313"/>
      <c r="BN36" s="311">
        <f t="shared" si="58"/>
        <v>0</v>
      </c>
      <c r="BO36" s="312">
        <f t="shared" si="58"/>
        <v>0</v>
      </c>
      <c r="BP36" s="313">
        <f t="shared" si="58"/>
        <v>0</v>
      </c>
      <c r="BQ36" s="360">
        <f t="shared" si="59"/>
        <v>0</v>
      </c>
      <c r="BR36" s="361">
        <f t="shared" si="59"/>
        <v>0</v>
      </c>
      <c r="BS36" s="419">
        <f t="shared" si="59"/>
        <v>0</v>
      </c>
      <c r="BT36" s="485"/>
      <c r="BU36" s="356">
        <f>Q36-BQ36</f>
        <v>0</v>
      </c>
      <c r="BV36" s="32"/>
      <c r="BW36" s="403"/>
      <c r="BX36" s="469">
        <v>0</v>
      </c>
      <c r="BY36" s="489">
        <f>BQ36-BZ36</f>
        <v>0</v>
      </c>
      <c r="BZ36" s="529">
        <f t="shared" si="5"/>
        <v>0</v>
      </c>
      <c r="CA36" s="133">
        <f t="shared" si="6"/>
        <v>0</v>
      </c>
      <c r="CB36" s="475"/>
    </row>
    <row r="37" spans="1:80" s="1" customFormat="1" ht="23.25" customHeight="1" thickBot="1">
      <c r="A37" s="714" t="s">
        <v>37</v>
      </c>
      <c r="B37" s="738"/>
      <c r="C37" s="86">
        <f>1930+360+770-320</f>
        <v>2740</v>
      </c>
      <c r="D37" s="59"/>
      <c r="E37" s="110">
        <v>2420</v>
      </c>
      <c r="F37" s="111">
        <v>0</v>
      </c>
      <c r="G37" s="153">
        <v>2640</v>
      </c>
      <c r="H37" s="141"/>
      <c r="I37" s="101">
        <v>320</v>
      </c>
      <c r="J37" s="394"/>
      <c r="K37" s="133">
        <v>201.66666666666666</v>
      </c>
      <c r="L37" s="186"/>
      <c r="M37" s="199">
        <v>-320</v>
      </c>
      <c r="N37" s="291"/>
      <c r="O37" s="237">
        <f>510+690+710</f>
        <v>1910</v>
      </c>
      <c r="P37" s="246">
        <f>1400-690</f>
        <v>710</v>
      </c>
      <c r="Q37" s="382">
        <f t="shared" si="52"/>
        <v>4910</v>
      </c>
      <c r="R37" s="374">
        <v>0</v>
      </c>
      <c r="S37" s="374">
        <v>1500</v>
      </c>
      <c r="T37" s="374">
        <v>1500</v>
      </c>
      <c r="U37" s="311">
        <v>500</v>
      </c>
      <c r="V37" s="312"/>
      <c r="W37" s="313">
        <v>320</v>
      </c>
      <c r="X37" s="311"/>
      <c r="Y37" s="312"/>
      <c r="Z37" s="313">
        <v>160</v>
      </c>
      <c r="AA37" s="311">
        <v>320</v>
      </c>
      <c r="AB37" s="312"/>
      <c r="AC37" s="313">
        <v>500</v>
      </c>
      <c r="AD37" s="455">
        <f>U37+X37+AA37</f>
        <v>820</v>
      </c>
      <c r="AE37" s="456">
        <f t="shared" si="60"/>
        <v>0</v>
      </c>
      <c r="AF37" s="457">
        <f t="shared" si="60"/>
        <v>980</v>
      </c>
      <c r="AG37" s="311">
        <v>500</v>
      </c>
      <c r="AH37" s="312"/>
      <c r="AI37" s="313"/>
      <c r="AJ37" s="311">
        <v>580</v>
      </c>
      <c r="AK37" s="312"/>
      <c r="AL37" s="314">
        <v>320</v>
      </c>
      <c r="AM37" s="311">
        <v>0</v>
      </c>
      <c r="AN37" s="312"/>
      <c r="AO37" s="314">
        <v>500</v>
      </c>
      <c r="AP37" s="267">
        <f>AG37+AJ37+AM37</f>
        <v>1080</v>
      </c>
      <c r="AQ37" s="268">
        <f t="shared" si="61"/>
        <v>0</v>
      </c>
      <c r="AR37" s="482">
        <f t="shared" si="61"/>
        <v>820</v>
      </c>
      <c r="AS37" s="311">
        <v>420</v>
      </c>
      <c r="AT37" s="314"/>
      <c r="AU37" s="356">
        <v>580</v>
      </c>
      <c r="AV37" s="311">
        <v>560</v>
      </c>
      <c r="AW37" s="312"/>
      <c r="AX37" s="314">
        <v>0</v>
      </c>
      <c r="AY37" s="311">
        <v>600</v>
      </c>
      <c r="AZ37" s="312"/>
      <c r="BA37" s="314"/>
      <c r="BB37" s="267">
        <f t="shared" si="57"/>
        <v>1580</v>
      </c>
      <c r="BC37" s="268">
        <f t="shared" si="57"/>
        <v>0</v>
      </c>
      <c r="BD37" s="462">
        <f t="shared" si="57"/>
        <v>580</v>
      </c>
      <c r="BE37" s="311">
        <v>500</v>
      </c>
      <c r="BF37" s="312"/>
      <c r="BG37" s="314">
        <v>980</v>
      </c>
      <c r="BH37" s="311"/>
      <c r="BI37" s="312"/>
      <c r="BJ37" s="314">
        <v>530</v>
      </c>
      <c r="BK37" s="311"/>
      <c r="BL37" s="312"/>
      <c r="BM37" s="313"/>
      <c r="BN37" s="330">
        <f t="shared" si="58"/>
        <v>500</v>
      </c>
      <c r="BO37" s="331">
        <f t="shared" si="58"/>
        <v>0</v>
      </c>
      <c r="BP37" s="333">
        <f t="shared" si="58"/>
        <v>1510</v>
      </c>
      <c r="BQ37" s="362">
        <f t="shared" si="59"/>
        <v>3980</v>
      </c>
      <c r="BR37" s="363">
        <f t="shared" si="59"/>
        <v>0</v>
      </c>
      <c r="BS37" s="420">
        <f t="shared" si="59"/>
        <v>3890</v>
      </c>
      <c r="BT37" s="486"/>
      <c r="BU37" s="356">
        <f>Q37-BQ37</f>
        <v>930</v>
      </c>
      <c r="BV37" s="354"/>
      <c r="BW37" s="405"/>
      <c r="BX37" s="473">
        <v>-380</v>
      </c>
      <c r="BY37" s="512">
        <f>BQ37-BZ37</f>
        <v>570</v>
      </c>
      <c r="BZ37" s="530">
        <f t="shared" si="5"/>
        <v>3410</v>
      </c>
      <c r="CA37" s="133">
        <f t="shared" si="6"/>
        <v>361.8181818181818</v>
      </c>
      <c r="CB37" s="533"/>
    </row>
    <row r="38" spans="1:80" s="1" customFormat="1" ht="29.25" customHeight="1" thickBot="1">
      <c r="A38" s="732" t="s">
        <v>121</v>
      </c>
      <c r="B38" s="733"/>
      <c r="C38" s="75">
        <f>C5+C6+C8+C18+C21+C28+C32+C33+C34+C35+C36+C37</f>
        <v>45211712</v>
      </c>
      <c r="D38" s="46">
        <f>D5+D11+D14+D21+D23+D32+D34</f>
        <v>2482518.81</v>
      </c>
      <c r="E38" s="34">
        <v>44464811.97</v>
      </c>
      <c r="F38" s="35">
        <v>13454033.18</v>
      </c>
      <c r="G38" s="154">
        <v>15326029.059999999</v>
      </c>
      <c r="H38" s="34">
        <v>699502.9299999992</v>
      </c>
      <c r="I38" s="35">
        <v>551972.17</v>
      </c>
      <c r="J38" s="395">
        <f>J5+J9+J11+J14+J21+J23+J32+J34</f>
        <v>2571402.2199999997</v>
      </c>
      <c r="K38" s="128"/>
      <c r="L38" s="203"/>
      <c r="M38" s="1" t="s">
        <v>58</v>
      </c>
      <c r="N38" s="293"/>
      <c r="O38" s="223">
        <f>O7+O10+O13+O17+O21+O28+O32+O33+O34+O35+O36+O37</f>
        <v>12052902</v>
      </c>
      <c r="P38" s="223">
        <f>P7+P10+P13+P17+P21+P28+P32+P33+P34+P35+P36+P37</f>
        <v>26082242</v>
      </c>
      <c r="Q38" s="350">
        <f>Q7+Q10+Q13+Q17+Q21+Q28+Q32+Q33+Q34</f>
        <v>50943580</v>
      </c>
      <c r="R38" s="350">
        <f>R7+R10+R13+R17+R21+R28+R32+R33+R34+R35+R36+R37</f>
        <v>10895762</v>
      </c>
      <c r="S38" s="350">
        <f>S7+S10+S13+S17+S21+S28+S32+S33+S34+S35+S36+S37</f>
        <v>15130444</v>
      </c>
      <c r="T38" s="350">
        <f>T7+T10+T13+T17+T21+T28+T32+T33+T34+T35+T36+T37</f>
        <v>13654550</v>
      </c>
      <c r="U38" s="367">
        <f>U7+U10+U13+U17+U21+U28+U32+U33+U34+U35+U36+U37</f>
        <v>4124027.1200000006</v>
      </c>
      <c r="V38" s="367">
        <f>V7+V10+V13+V17+V21+V28+V32+V33+V34+V36</f>
        <v>347118.67</v>
      </c>
      <c r="W38" s="367">
        <f aca="true" t="shared" si="62" ref="W38:BB38">W7+W10+W13+W17+W21+W28+W32+W33+W34+W35+W36+W37</f>
        <v>378690.12</v>
      </c>
      <c r="X38" s="367">
        <f t="shared" si="62"/>
        <v>3794416.83</v>
      </c>
      <c r="Y38" s="367">
        <f t="shared" si="62"/>
        <v>1199934.48</v>
      </c>
      <c r="Z38" s="367">
        <f t="shared" si="62"/>
        <v>775458.13</v>
      </c>
      <c r="AA38" s="367">
        <f t="shared" si="62"/>
        <v>3842418.88</v>
      </c>
      <c r="AB38" s="367">
        <f t="shared" si="62"/>
        <v>405669.42000000004</v>
      </c>
      <c r="AC38" s="425">
        <f t="shared" si="62"/>
        <v>411794.23</v>
      </c>
      <c r="AD38" s="367">
        <f t="shared" si="62"/>
        <v>11869982.829999998</v>
      </c>
      <c r="AE38" s="367">
        <f t="shared" si="62"/>
        <v>1952722.5699999996</v>
      </c>
      <c r="AF38" s="425">
        <f t="shared" si="62"/>
        <v>1565942.48</v>
      </c>
      <c r="AG38" s="425">
        <f t="shared" si="62"/>
        <v>4042960.74</v>
      </c>
      <c r="AH38" s="425">
        <f t="shared" si="62"/>
        <v>315505.74999999994</v>
      </c>
      <c r="AI38" s="425">
        <f t="shared" si="62"/>
        <v>1239602.8599999999</v>
      </c>
      <c r="AJ38" s="425">
        <f t="shared" si="62"/>
        <v>4308927.53</v>
      </c>
      <c r="AK38" s="425">
        <f t="shared" si="62"/>
        <v>2036440.18</v>
      </c>
      <c r="AL38" s="425">
        <f t="shared" si="62"/>
        <v>432809.15</v>
      </c>
      <c r="AM38" s="425">
        <f t="shared" si="62"/>
        <v>4320422.85</v>
      </c>
      <c r="AN38" s="425">
        <f t="shared" si="62"/>
        <v>906038.55</v>
      </c>
      <c r="AO38" s="367">
        <f t="shared" si="62"/>
        <v>352213.74999999994</v>
      </c>
      <c r="AP38" s="425">
        <f t="shared" si="62"/>
        <v>12739271.120000003</v>
      </c>
      <c r="AQ38" s="425">
        <f t="shared" si="62"/>
        <v>3257984.48</v>
      </c>
      <c r="AR38" s="367">
        <f t="shared" si="62"/>
        <v>2024625.7599999998</v>
      </c>
      <c r="AS38" s="367">
        <f t="shared" si="62"/>
        <v>4399000.5</v>
      </c>
      <c r="AT38" s="367">
        <f t="shared" si="62"/>
        <v>891151.7000000001</v>
      </c>
      <c r="AU38" s="503">
        <f t="shared" si="62"/>
        <v>2072732.18</v>
      </c>
      <c r="AV38" s="367">
        <f t="shared" si="62"/>
        <v>4365993.88</v>
      </c>
      <c r="AW38" s="367">
        <f t="shared" si="62"/>
        <v>756997.95</v>
      </c>
      <c r="AX38" s="367">
        <f t="shared" si="62"/>
        <v>562701.61</v>
      </c>
      <c r="AY38" s="367">
        <f t="shared" si="62"/>
        <v>4046699.0399999996</v>
      </c>
      <c r="AZ38" s="367">
        <f t="shared" si="62"/>
        <v>885868.3600000001</v>
      </c>
      <c r="BA38" s="367">
        <f t="shared" si="62"/>
        <v>1367409.2000000002</v>
      </c>
      <c r="BB38" s="367">
        <f t="shared" si="62"/>
        <v>12811693.420000002</v>
      </c>
      <c r="BC38" s="367">
        <f aca="true" t="shared" si="63" ref="BC38:BV38">BC7+BC10+BC13+BC17+BC21+BC28+BC32+BC33+BC34+BC35+BC36+BC37</f>
        <v>2534018.0100000002</v>
      </c>
      <c r="BD38" s="367">
        <f t="shared" si="63"/>
        <v>4002842.9899999998</v>
      </c>
      <c r="BE38" s="367">
        <f t="shared" si="63"/>
        <v>4598249.82</v>
      </c>
      <c r="BF38" s="367">
        <f t="shared" si="63"/>
        <v>1348144.24</v>
      </c>
      <c r="BG38" s="367">
        <f t="shared" si="63"/>
        <v>788724.6100000001</v>
      </c>
      <c r="BH38" s="367">
        <f t="shared" si="63"/>
        <v>4461783.26</v>
      </c>
      <c r="BI38" s="367">
        <f t="shared" si="63"/>
        <v>627453.3899999999</v>
      </c>
      <c r="BJ38" s="367">
        <f t="shared" si="63"/>
        <v>910350.58</v>
      </c>
      <c r="BK38" s="367">
        <f t="shared" si="63"/>
        <v>0</v>
      </c>
      <c r="BL38" s="367">
        <f t="shared" si="63"/>
        <v>0</v>
      </c>
      <c r="BM38" s="367">
        <f t="shared" si="63"/>
        <v>244604.05</v>
      </c>
      <c r="BN38" s="367">
        <f t="shared" si="63"/>
        <v>9060033.08</v>
      </c>
      <c r="BO38" s="367">
        <f t="shared" si="63"/>
        <v>1975597.63</v>
      </c>
      <c r="BP38" s="367">
        <f t="shared" si="63"/>
        <v>1943679.24</v>
      </c>
      <c r="BQ38" s="367">
        <f t="shared" si="63"/>
        <v>46570756.449999996</v>
      </c>
      <c r="BR38" s="367">
        <f t="shared" si="63"/>
        <v>9720322.69</v>
      </c>
      <c r="BS38" s="367">
        <f t="shared" si="63"/>
        <v>9537090.469999999</v>
      </c>
      <c r="BT38" s="417">
        <f t="shared" si="63"/>
        <v>1981847.3100000005</v>
      </c>
      <c r="BU38" s="368">
        <f t="shared" si="63"/>
        <v>3682704.009999997</v>
      </c>
      <c r="BV38" s="499">
        <f t="shared" si="63"/>
        <v>2079269.020000001</v>
      </c>
      <c r="BW38" s="405"/>
      <c r="BX38" s="413"/>
      <c r="BY38" s="464"/>
      <c r="BZ38" s="13"/>
      <c r="CA38" s="464"/>
      <c r="CB38" s="518"/>
    </row>
    <row r="39" spans="1:80" s="11" customFormat="1" ht="16.5" customHeight="1">
      <c r="A39" s="2" t="s">
        <v>19</v>
      </c>
      <c r="B39" s="523" t="s">
        <v>47</v>
      </c>
      <c r="C39" s="76">
        <f>C5+C6+C13+C21+C28+C32+C33</f>
        <v>40014640</v>
      </c>
      <c r="D39" s="29">
        <f>D5+D6+D13+D21+D28+D32+D33</f>
        <v>2394520.5</v>
      </c>
      <c r="E39" s="12">
        <v>40001604.02</v>
      </c>
      <c r="F39" s="29">
        <v>13116780.64</v>
      </c>
      <c r="G39" s="155">
        <v>14554508.11</v>
      </c>
      <c r="H39" s="12">
        <v>105279.35999999935</v>
      </c>
      <c r="I39" s="29">
        <v>-110594.27</v>
      </c>
      <c r="J39" s="396">
        <f>J5+J11+J21+J23+J32</f>
        <v>2432977.67</v>
      </c>
      <c r="K39" s="134" t="s">
        <v>56</v>
      </c>
      <c r="L39" s="202"/>
      <c r="M39" s="11" t="s">
        <v>59</v>
      </c>
      <c r="N39" s="28"/>
      <c r="O39" s="224">
        <f aca="true" t="shared" si="64" ref="O39:AT39">O7+O13+O21+O28+O32+O33</f>
        <v>10716100</v>
      </c>
      <c r="P39" s="224">
        <f t="shared" si="64"/>
        <v>18835300</v>
      </c>
      <c r="Q39" s="351">
        <f t="shared" si="64"/>
        <v>45194150</v>
      </c>
      <c r="R39" s="351">
        <f t="shared" si="64"/>
        <v>9473990</v>
      </c>
      <c r="S39" s="351">
        <f t="shared" si="64"/>
        <v>12063660</v>
      </c>
      <c r="T39" s="351">
        <f t="shared" si="64"/>
        <v>12940400</v>
      </c>
      <c r="U39" s="369">
        <f t="shared" si="64"/>
        <v>3777666.09</v>
      </c>
      <c r="V39" s="369">
        <f t="shared" si="64"/>
        <v>292736.3</v>
      </c>
      <c r="W39" s="369">
        <f t="shared" si="64"/>
        <v>310910.12</v>
      </c>
      <c r="X39" s="369">
        <f t="shared" si="64"/>
        <v>3424765.8099999996</v>
      </c>
      <c r="Y39" s="369">
        <f t="shared" si="64"/>
        <v>1199934.48</v>
      </c>
      <c r="Z39" s="369">
        <f t="shared" si="64"/>
        <v>574290</v>
      </c>
      <c r="AA39" s="369">
        <f t="shared" si="64"/>
        <v>3437174</v>
      </c>
      <c r="AB39" s="369">
        <f t="shared" si="64"/>
        <v>307517.54000000004</v>
      </c>
      <c r="AC39" s="426">
        <f t="shared" si="64"/>
        <v>321695.86</v>
      </c>
      <c r="AD39" s="369">
        <f t="shared" si="64"/>
        <v>10639605.899999999</v>
      </c>
      <c r="AE39" s="369">
        <f t="shared" si="64"/>
        <v>1800188.3199999996</v>
      </c>
      <c r="AF39" s="426">
        <f t="shared" si="64"/>
        <v>1206895.98</v>
      </c>
      <c r="AG39" s="426">
        <f t="shared" si="64"/>
        <v>3578319.41</v>
      </c>
      <c r="AH39" s="426">
        <f t="shared" si="64"/>
        <v>250110.50999999998</v>
      </c>
      <c r="AI39" s="426">
        <f t="shared" si="64"/>
        <v>1199922.8599999999</v>
      </c>
      <c r="AJ39" s="426">
        <f t="shared" si="64"/>
        <v>3804608.6100000003</v>
      </c>
      <c r="AK39" s="426">
        <f t="shared" si="64"/>
        <v>1814803.99</v>
      </c>
      <c r="AL39" s="426">
        <f t="shared" si="64"/>
        <v>307553.27</v>
      </c>
      <c r="AM39" s="426">
        <f t="shared" si="64"/>
        <v>3804363.1999999993</v>
      </c>
      <c r="AN39" s="426">
        <f t="shared" si="64"/>
        <v>855099.8</v>
      </c>
      <c r="AO39" s="369">
        <f t="shared" si="64"/>
        <v>250110.50999999998</v>
      </c>
      <c r="AP39" s="426">
        <f t="shared" si="64"/>
        <v>11187291.22</v>
      </c>
      <c r="AQ39" s="426">
        <f t="shared" si="64"/>
        <v>2920014.3000000003</v>
      </c>
      <c r="AR39" s="369">
        <f t="shared" si="64"/>
        <v>1757586.6399999997</v>
      </c>
      <c r="AS39" s="369">
        <f t="shared" si="64"/>
        <v>3978411.91</v>
      </c>
      <c r="AT39" s="369">
        <f t="shared" si="64"/>
        <v>548006.4099999999</v>
      </c>
      <c r="AU39" s="504">
        <f aca="true" t="shared" si="65" ref="AU39:BV39">AU7+AU13+AU21+AU28+AU32+AU33</f>
        <v>1814803.99</v>
      </c>
      <c r="AV39" s="369">
        <f t="shared" si="65"/>
        <v>3899126.87</v>
      </c>
      <c r="AW39" s="369">
        <f t="shared" si="65"/>
        <v>756997.95</v>
      </c>
      <c r="AX39" s="369">
        <f t="shared" si="65"/>
        <v>479026.86</v>
      </c>
      <c r="AY39" s="369">
        <f t="shared" si="65"/>
        <v>3635486.1499999994</v>
      </c>
      <c r="AZ39" s="369">
        <f t="shared" si="65"/>
        <v>762696.0900000001</v>
      </c>
      <c r="BA39" s="369">
        <f t="shared" si="65"/>
        <v>924071.9100000001</v>
      </c>
      <c r="BB39" s="369">
        <f t="shared" si="65"/>
        <v>11513024.93</v>
      </c>
      <c r="BC39" s="369">
        <f t="shared" si="65"/>
        <v>2067700.45</v>
      </c>
      <c r="BD39" s="369">
        <f t="shared" si="65"/>
        <v>3217902.76</v>
      </c>
      <c r="BE39" s="369">
        <f t="shared" si="65"/>
        <v>4091233.7100000004</v>
      </c>
      <c r="BF39" s="369">
        <f t="shared" si="65"/>
        <v>1135780.19</v>
      </c>
      <c r="BG39" s="369">
        <f t="shared" si="65"/>
        <v>756992.6100000001</v>
      </c>
      <c r="BH39" s="369">
        <f t="shared" si="65"/>
        <v>3934114.9499999997</v>
      </c>
      <c r="BI39" s="369">
        <f t="shared" si="65"/>
        <v>374445.63</v>
      </c>
      <c r="BJ39" s="369">
        <f t="shared" si="65"/>
        <v>762708.87</v>
      </c>
      <c r="BK39" s="369">
        <f t="shared" si="65"/>
        <v>0</v>
      </c>
      <c r="BL39" s="369">
        <f t="shared" si="65"/>
        <v>0</v>
      </c>
      <c r="BM39" s="369">
        <f t="shared" si="65"/>
        <v>0</v>
      </c>
      <c r="BN39" s="369">
        <f t="shared" si="65"/>
        <v>8025348.660000001</v>
      </c>
      <c r="BO39" s="369">
        <f t="shared" si="65"/>
        <v>1510225.82</v>
      </c>
      <c r="BP39" s="369">
        <f t="shared" si="65"/>
        <v>1519701.48</v>
      </c>
      <c r="BQ39" s="369">
        <f t="shared" si="65"/>
        <v>41365270.71</v>
      </c>
      <c r="BR39" s="369">
        <f t="shared" si="65"/>
        <v>8298128.89</v>
      </c>
      <c r="BS39" s="369">
        <f t="shared" si="65"/>
        <v>7702086.859999999</v>
      </c>
      <c r="BT39" s="504">
        <f t="shared" si="65"/>
        <v>1464661.1100000003</v>
      </c>
      <c r="BU39" s="369">
        <f t="shared" si="65"/>
        <v>3241011.4099999974</v>
      </c>
      <c r="BV39" s="500">
        <f t="shared" si="65"/>
        <v>1565701.010000001</v>
      </c>
      <c r="BW39" s="402"/>
      <c r="BX39" s="161"/>
      <c r="BY39" s="427"/>
      <c r="BZ39" s="9"/>
      <c r="CA39" s="427"/>
      <c r="CB39" s="517"/>
    </row>
    <row r="40" spans="1:80" s="11" customFormat="1" ht="17.25" customHeight="1" thickBot="1">
      <c r="A40" s="14"/>
      <c r="B40" s="477" t="s">
        <v>20</v>
      </c>
      <c r="C40" s="77">
        <f>C14+C15+C16+C34</f>
        <v>1605610</v>
      </c>
      <c r="D40" s="30">
        <f>D17+D34</f>
        <v>67754.4</v>
      </c>
      <c r="E40" s="16">
        <v>1513904.06</v>
      </c>
      <c r="F40" s="30">
        <v>337252.54</v>
      </c>
      <c r="G40" s="156">
        <v>384319.95</v>
      </c>
      <c r="H40" s="16">
        <v>627.460000000021</v>
      </c>
      <c r="I40" s="30">
        <v>20408.330000000075</v>
      </c>
      <c r="J40" s="397">
        <f>J34</f>
        <v>138424.55</v>
      </c>
      <c r="K40" s="134" t="s">
        <v>57</v>
      </c>
      <c r="L40" s="163">
        <f>L17+L34</f>
        <v>0</v>
      </c>
      <c r="N40" s="28"/>
      <c r="O40" s="225">
        <f aca="true" t="shared" si="66" ref="O40:AT40">O17+O34</f>
        <v>406810</v>
      </c>
      <c r="P40" s="225">
        <f t="shared" si="66"/>
        <v>1062280</v>
      </c>
      <c r="Q40" s="352">
        <f t="shared" si="66"/>
        <v>1605430</v>
      </c>
      <c r="R40" s="352">
        <f t="shared" si="66"/>
        <v>407500</v>
      </c>
      <c r="S40" s="352">
        <f t="shared" si="66"/>
        <v>444740</v>
      </c>
      <c r="T40" s="352">
        <f t="shared" si="66"/>
        <v>346380</v>
      </c>
      <c r="U40" s="370">
        <f t="shared" si="66"/>
        <v>143077.47</v>
      </c>
      <c r="V40" s="370">
        <f t="shared" si="66"/>
        <v>0</v>
      </c>
      <c r="W40" s="370">
        <f t="shared" si="66"/>
        <v>0</v>
      </c>
      <c r="X40" s="370">
        <f t="shared" si="66"/>
        <v>133683.87</v>
      </c>
      <c r="Y40" s="370">
        <f t="shared" si="66"/>
        <v>0</v>
      </c>
      <c r="Z40" s="370">
        <f t="shared" si="66"/>
        <v>88916.13</v>
      </c>
      <c r="AA40" s="370">
        <f t="shared" si="66"/>
        <v>128737.87000000001</v>
      </c>
      <c r="AB40" s="370">
        <f t="shared" si="66"/>
        <v>59947.82</v>
      </c>
      <c r="AC40" s="428">
        <f t="shared" si="66"/>
        <v>0</v>
      </c>
      <c r="AD40" s="370">
        <f t="shared" si="66"/>
        <v>405499.21</v>
      </c>
      <c r="AE40" s="370">
        <f t="shared" si="66"/>
        <v>59947.82</v>
      </c>
      <c r="AF40" s="428">
        <f t="shared" si="66"/>
        <v>88916.13</v>
      </c>
      <c r="AG40" s="428">
        <f t="shared" si="66"/>
        <v>139007.15</v>
      </c>
      <c r="AH40" s="428">
        <f t="shared" si="66"/>
        <v>0</v>
      </c>
      <c r="AI40" s="428">
        <f t="shared" si="66"/>
        <v>0</v>
      </c>
      <c r="AJ40" s="428">
        <f t="shared" si="66"/>
        <v>161209.5</v>
      </c>
      <c r="AK40" s="428">
        <f t="shared" si="66"/>
        <v>61932.71</v>
      </c>
      <c r="AL40" s="428">
        <f t="shared" si="66"/>
        <v>59947.82</v>
      </c>
      <c r="AM40" s="428">
        <f t="shared" si="66"/>
        <v>118382.17</v>
      </c>
      <c r="AN40" s="428">
        <f t="shared" si="66"/>
        <v>0</v>
      </c>
      <c r="AO40" s="370">
        <f t="shared" si="66"/>
        <v>0</v>
      </c>
      <c r="AP40" s="428">
        <f t="shared" si="66"/>
        <v>418598.82</v>
      </c>
      <c r="AQ40" s="428">
        <f t="shared" si="66"/>
        <v>61932.71</v>
      </c>
      <c r="AR40" s="370">
        <f t="shared" si="66"/>
        <v>59947.82</v>
      </c>
      <c r="AS40" s="370">
        <f t="shared" si="66"/>
        <v>139538.27</v>
      </c>
      <c r="AT40" s="370">
        <f t="shared" si="66"/>
        <v>0</v>
      </c>
      <c r="AU40" s="505">
        <f aca="true" t="shared" si="67" ref="AU40:BV40">AU17+AU34</f>
        <v>61932.71</v>
      </c>
      <c r="AV40" s="370">
        <f t="shared" si="67"/>
        <v>131516.5</v>
      </c>
      <c r="AW40" s="370">
        <f t="shared" si="67"/>
        <v>0</v>
      </c>
      <c r="AX40" s="370">
        <f t="shared" si="67"/>
        <v>0</v>
      </c>
      <c r="AY40" s="370">
        <f t="shared" si="67"/>
        <v>129907.3</v>
      </c>
      <c r="AZ40" s="370">
        <f t="shared" si="67"/>
        <v>68789.9</v>
      </c>
      <c r="BA40" s="370">
        <f t="shared" si="67"/>
        <v>0</v>
      </c>
      <c r="BB40" s="370">
        <f t="shared" si="67"/>
        <v>400962.07</v>
      </c>
      <c r="BC40" s="370">
        <f t="shared" si="67"/>
        <v>68789.9</v>
      </c>
      <c r="BD40" s="370">
        <f t="shared" si="67"/>
        <v>61932.71</v>
      </c>
      <c r="BE40" s="370">
        <f t="shared" si="67"/>
        <v>148308.85</v>
      </c>
      <c r="BF40" s="370">
        <f t="shared" si="67"/>
        <v>0</v>
      </c>
      <c r="BG40" s="370">
        <f t="shared" si="67"/>
        <v>0</v>
      </c>
      <c r="BH40" s="370">
        <f t="shared" si="67"/>
        <v>153748.6</v>
      </c>
      <c r="BI40" s="370">
        <f t="shared" si="67"/>
        <v>34592.24</v>
      </c>
      <c r="BJ40" s="370">
        <f t="shared" si="67"/>
        <v>59993.34</v>
      </c>
      <c r="BK40" s="370">
        <f t="shared" si="67"/>
        <v>0</v>
      </c>
      <c r="BL40" s="370">
        <f t="shared" si="67"/>
        <v>0</v>
      </c>
      <c r="BM40" s="370">
        <f t="shared" si="67"/>
        <v>0</v>
      </c>
      <c r="BN40" s="370">
        <f t="shared" si="67"/>
        <v>302057.45</v>
      </c>
      <c r="BO40" s="370">
        <f t="shared" si="67"/>
        <v>34592.24</v>
      </c>
      <c r="BP40" s="370">
        <f t="shared" si="67"/>
        <v>59993.34</v>
      </c>
      <c r="BQ40" s="370">
        <f t="shared" si="67"/>
        <v>1527117.55</v>
      </c>
      <c r="BR40" s="370">
        <f t="shared" si="67"/>
        <v>225262.66999999998</v>
      </c>
      <c r="BS40" s="370">
        <f t="shared" si="67"/>
        <v>270790</v>
      </c>
      <c r="BT40" s="505">
        <f t="shared" si="67"/>
        <v>117.3300000000163</v>
      </c>
      <c r="BU40" s="370">
        <f t="shared" si="67"/>
        <v>107210.91999999993</v>
      </c>
      <c r="BV40" s="370">
        <f t="shared" si="67"/>
        <v>109408.74999999994</v>
      </c>
      <c r="BW40" s="402"/>
      <c r="BX40" s="161"/>
      <c r="BY40" s="427"/>
      <c r="BZ40" s="509">
        <v>43409</v>
      </c>
      <c r="CA40" s="427"/>
      <c r="CB40" s="517"/>
    </row>
    <row r="41" spans="1:80" s="11" customFormat="1" ht="14.25" customHeight="1" thickBot="1">
      <c r="A41" s="87" t="s">
        <v>19</v>
      </c>
      <c r="B41" s="88"/>
      <c r="C41" s="78"/>
      <c r="D41" s="17"/>
      <c r="E41" s="94"/>
      <c r="F41" s="94"/>
      <c r="G41" s="127"/>
      <c r="H41" s="28"/>
      <c r="I41" s="28"/>
      <c r="J41" s="127"/>
      <c r="K41" s="127"/>
      <c r="L41" s="164"/>
      <c r="N41" s="28"/>
      <c r="O41" s="221"/>
      <c r="P41" s="221"/>
      <c r="Q41" s="353"/>
      <c r="R41" s="353"/>
      <c r="S41" s="353"/>
      <c r="T41" s="353"/>
      <c r="U41" s="94"/>
      <c r="V41" s="94"/>
      <c r="W41" s="94"/>
      <c r="X41" s="94"/>
      <c r="Y41" s="94"/>
      <c r="Z41" s="94"/>
      <c r="AA41" s="94"/>
      <c r="AB41" s="94"/>
      <c r="AC41" s="94"/>
      <c r="AD41" s="437"/>
      <c r="AE41" s="438"/>
      <c r="AF41" s="439"/>
      <c r="AG41" s="94"/>
      <c r="AH41" s="94"/>
      <c r="AI41" s="94"/>
      <c r="AJ41" s="437"/>
      <c r="AK41" s="438"/>
      <c r="AL41" s="439"/>
      <c r="AM41" s="94"/>
      <c r="AN41" s="94"/>
      <c r="AO41" s="94"/>
      <c r="AP41" s="437"/>
      <c r="AQ41" s="438"/>
      <c r="AR41" s="439"/>
      <c r="AS41" s="506"/>
      <c r="AT41" s="439"/>
      <c r="AU41" s="439"/>
      <c r="AV41" s="439"/>
      <c r="AW41" s="439"/>
      <c r="AX41" s="439"/>
      <c r="AY41" s="439"/>
      <c r="AZ41" s="439"/>
      <c r="BA41" s="439"/>
      <c r="BB41" s="439"/>
      <c r="BC41" s="439"/>
      <c r="BD41" s="438"/>
      <c r="BE41" s="315"/>
      <c r="BF41" s="316"/>
      <c r="BG41" s="522"/>
      <c r="BH41" s="315"/>
      <c r="BI41" s="316"/>
      <c r="BJ41" s="522"/>
      <c r="BK41" s="315"/>
      <c r="BL41" s="316"/>
      <c r="BM41" s="522"/>
      <c r="BN41" s="315"/>
      <c r="BO41" s="316"/>
      <c r="BP41" s="522"/>
      <c r="BW41" s="402"/>
      <c r="BX41" s="161"/>
      <c r="BY41" s="427"/>
      <c r="BZ41" s="9"/>
      <c r="CA41" s="427"/>
      <c r="CB41" s="517"/>
    </row>
    <row r="42" spans="1:74" ht="18.75" customHeight="1" thickBot="1">
      <c r="A42" s="734" t="s">
        <v>89</v>
      </c>
      <c r="B42" s="735"/>
      <c r="C42" s="122">
        <f>C45+C36</f>
        <v>13570760</v>
      </c>
      <c r="D42" s="42"/>
      <c r="E42" s="123">
        <f>E5+E11+E14+E21+E23+E32+E34+E36</f>
        <v>13372726.139999999</v>
      </c>
      <c r="F42" s="123">
        <f>F5+F11+F14+F21+F23+F32+F34+F36</f>
        <v>13454033.18</v>
      </c>
      <c r="G42" s="157">
        <f>G5+G11+G14+G21+G23+G32+G34+G36</f>
        <v>14950393.059999999</v>
      </c>
      <c r="H42" s="123">
        <f>H5+H11+H14+H21+H23+H32+H34+H36</f>
        <v>105906.81999999937</v>
      </c>
      <c r="I42" s="123">
        <f>I5+I11+I14+I21+I23+I32+I34+I36</f>
        <v>3106</v>
      </c>
      <c r="K42" s="187"/>
      <c r="L42" s="165"/>
      <c r="M42" s="169"/>
      <c r="O42" s="513">
        <f aca="true" t="shared" si="68" ref="O42:AT42">O45+O36</f>
        <v>3303700</v>
      </c>
      <c r="P42" s="513">
        <f t="shared" si="68"/>
        <v>7950980</v>
      </c>
      <c r="Q42" s="513">
        <f t="shared" si="68"/>
        <v>11702170</v>
      </c>
      <c r="R42" s="513">
        <f t="shared" si="68"/>
        <v>2111170</v>
      </c>
      <c r="S42" s="513">
        <f t="shared" si="68"/>
        <v>4064960</v>
      </c>
      <c r="T42" s="535">
        <f t="shared" si="68"/>
        <v>2222340</v>
      </c>
      <c r="U42" s="342">
        <f t="shared" si="68"/>
        <v>945025.8199999998</v>
      </c>
      <c r="V42" s="342">
        <f t="shared" si="68"/>
        <v>347118.67</v>
      </c>
      <c r="W42" s="342">
        <f t="shared" si="68"/>
        <v>310910.12</v>
      </c>
      <c r="X42" s="342">
        <f t="shared" si="68"/>
        <v>852358.2599999999</v>
      </c>
      <c r="Y42" s="342">
        <f t="shared" si="68"/>
        <v>1199934.48</v>
      </c>
      <c r="Z42" s="342">
        <f t="shared" si="68"/>
        <v>663206.13</v>
      </c>
      <c r="AA42" s="342">
        <f t="shared" si="68"/>
        <v>885327.5700000001</v>
      </c>
      <c r="AB42" s="342">
        <f t="shared" si="68"/>
        <v>405669.42000000004</v>
      </c>
      <c r="AC42" s="429">
        <f t="shared" si="68"/>
        <v>376078.23</v>
      </c>
      <c r="AD42" s="342">
        <f t="shared" si="68"/>
        <v>2682711.6500000004</v>
      </c>
      <c r="AE42" s="342">
        <f t="shared" si="68"/>
        <v>1952722.5699999996</v>
      </c>
      <c r="AF42" s="342">
        <f t="shared" si="68"/>
        <v>1350194.48</v>
      </c>
      <c r="AG42" s="342">
        <f t="shared" si="68"/>
        <v>902859.1499999999</v>
      </c>
      <c r="AH42" s="342">
        <f t="shared" si="68"/>
        <v>315505.74999999994</v>
      </c>
      <c r="AI42" s="342">
        <f t="shared" si="68"/>
        <v>1199922.8599999999</v>
      </c>
      <c r="AJ42" s="342">
        <f t="shared" si="68"/>
        <v>1038022.0499999999</v>
      </c>
      <c r="AK42" s="342">
        <f t="shared" si="68"/>
        <v>2036440.18</v>
      </c>
      <c r="AL42" s="342">
        <f t="shared" si="68"/>
        <v>405705.15</v>
      </c>
      <c r="AM42" s="342">
        <f t="shared" si="68"/>
        <v>985449.7200000001</v>
      </c>
      <c r="AN42" s="342">
        <f t="shared" si="68"/>
        <v>906038.55</v>
      </c>
      <c r="AO42" s="342">
        <f t="shared" si="68"/>
        <v>315505.74999999994</v>
      </c>
      <c r="AP42" s="342">
        <f t="shared" si="68"/>
        <v>2926330.92</v>
      </c>
      <c r="AQ42" s="342">
        <f t="shared" si="68"/>
        <v>3257984.48</v>
      </c>
      <c r="AR42" s="342">
        <f t="shared" si="68"/>
        <v>1921133.7599999998</v>
      </c>
      <c r="AS42" s="342">
        <f t="shared" si="68"/>
        <v>915691.6699999999</v>
      </c>
      <c r="AT42" s="342">
        <f t="shared" si="68"/>
        <v>891151.7000000001</v>
      </c>
      <c r="AU42" s="433">
        <f aca="true" t="shared" si="69" ref="AU42:BV42">AU45+AU36</f>
        <v>2036440.18</v>
      </c>
      <c r="AV42" s="342">
        <f t="shared" si="69"/>
        <v>959769.5399999999</v>
      </c>
      <c r="AW42" s="342">
        <f t="shared" si="69"/>
        <v>756997.95</v>
      </c>
      <c r="AX42" s="342">
        <f t="shared" si="69"/>
        <v>529965.61</v>
      </c>
      <c r="AY42" s="342">
        <f t="shared" si="69"/>
        <v>771605.6599999999</v>
      </c>
      <c r="AZ42" s="342">
        <f t="shared" si="69"/>
        <v>885868.3600000001</v>
      </c>
      <c r="BA42" s="342">
        <f t="shared" si="69"/>
        <v>1267217.2000000002</v>
      </c>
      <c r="BB42" s="342">
        <f t="shared" si="69"/>
        <v>2647066.869999999</v>
      </c>
      <c r="BC42" s="342">
        <f t="shared" si="69"/>
        <v>2534018.0100000002</v>
      </c>
      <c r="BD42" s="429">
        <f t="shared" si="69"/>
        <v>3833622.9899999998</v>
      </c>
      <c r="BE42" s="429">
        <f t="shared" si="69"/>
        <v>1076180.8199999998</v>
      </c>
      <c r="BF42" s="429">
        <f t="shared" si="69"/>
        <v>1348144.24</v>
      </c>
      <c r="BG42" s="429">
        <f t="shared" si="69"/>
        <v>756992.6100000001</v>
      </c>
      <c r="BH42" s="429">
        <f t="shared" si="69"/>
        <v>889682.2</v>
      </c>
      <c r="BI42" s="429">
        <f t="shared" si="69"/>
        <v>627453.3899999999</v>
      </c>
      <c r="BJ42" s="429">
        <f t="shared" si="69"/>
        <v>877084.58</v>
      </c>
      <c r="BK42" s="429">
        <f t="shared" si="69"/>
        <v>0</v>
      </c>
      <c r="BL42" s="429">
        <f t="shared" si="69"/>
        <v>0</v>
      </c>
      <c r="BM42" s="429">
        <f t="shared" si="69"/>
        <v>212364.05</v>
      </c>
      <c r="BN42" s="429">
        <f t="shared" si="69"/>
        <v>1965863.0200000003</v>
      </c>
      <c r="BO42" s="429">
        <f t="shared" si="69"/>
        <v>1975597.63</v>
      </c>
      <c r="BP42" s="342">
        <f t="shared" si="69"/>
        <v>1846441.24</v>
      </c>
      <c r="BQ42" s="342">
        <f t="shared" si="69"/>
        <v>10221972.459999999</v>
      </c>
      <c r="BR42" s="342">
        <f t="shared" si="69"/>
        <v>9720322.69</v>
      </c>
      <c r="BS42" s="342">
        <f t="shared" si="69"/>
        <v>8951392.469999999</v>
      </c>
      <c r="BT42" s="342">
        <f t="shared" si="69"/>
        <v>1981847.3100000005</v>
      </c>
      <c r="BU42" s="342">
        <f t="shared" si="69"/>
        <v>0</v>
      </c>
      <c r="BV42" s="157">
        <f t="shared" si="69"/>
        <v>2079269.020000001</v>
      </c>
    </row>
    <row r="43" spans="1:74" ht="18" customHeight="1" thickBot="1">
      <c r="A43" s="400" t="s">
        <v>53</v>
      </c>
      <c r="B43" s="401" t="s">
        <v>91</v>
      </c>
      <c r="C43" s="124">
        <f>C6+C12+C15+C16+C22+C24+C26+C27+C29+C33</f>
        <v>26902440</v>
      </c>
      <c r="D43" s="42"/>
      <c r="E43" s="126">
        <f>E6+E12+E15+E16+E22+E24+E25+E26+E27+E29+E33</f>
        <v>28150495.939999998</v>
      </c>
      <c r="F43" s="126">
        <f>F6+F12+F15+F16+F22+F24+F25+F26+F27+F29+F33</f>
        <v>0</v>
      </c>
      <c r="G43" s="158">
        <f>G6+G12+G15+G16+G22+G24+G25+G26+G27+G29+G33</f>
        <v>8403.31</v>
      </c>
      <c r="H43" s="126">
        <f>H6+H12+H15+H16+H22+H24+H25+H26+H27+H29+H33</f>
        <v>0</v>
      </c>
      <c r="I43" s="126">
        <f>I6+I12+I15+I16+I22+I24+I25+I26+I27+I29+I33</f>
        <v>-90185.94000000025</v>
      </c>
      <c r="K43" s="187"/>
      <c r="L43" s="165"/>
      <c r="M43" s="188"/>
      <c r="O43" s="514">
        <f aca="true" t="shared" si="70" ref="O43:AT43">O6+O8+O12+O17+O22+O24+O25+O26+O27+O33</f>
        <v>8520620</v>
      </c>
      <c r="P43" s="514">
        <f t="shared" si="70"/>
        <v>17916280</v>
      </c>
      <c r="Q43" s="514">
        <f t="shared" si="70"/>
        <v>39241410</v>
      </c>
      <c r="R43" s="514">
        <f t="shared" si="70"/>
        <v>8570320</v>
      </c>
      <c r="S43" s="514">
        <f t="shared" si="70"/>
        <v>11007440</v>
      </c>
      <c r="T43" s="536">
        <f t="shared" si="70"/>
        <v>11143030</v>
      </c>
      <c r="U43" s="343">
        <f t="shared" si="70"/>
        <v>3138325.3000000003</v>
      </c>
      <c r="V43" s="343">
        <f t="shared" si="70"/>
        <v>0</v>
      </c>
      <c r="W43" s="343">
        <f t="shared" si="70"/>
        <v>0</v>
      </c>
      <c r="X43" s="343">
        <f t="shared" si="70"/>
        <v>2906842.5700000003</v>
      </c>
      <c r="Y43" s="343">
        <f t="shared" si="70"/>
        <v>0</v>
      </c>
      <c r="Z43" s="343">
        <f t="shared" si="70"/>
        <v>0</v>
      </c>
      <c r="AA43" s="343">
        <f t="shared" si="70"/>
        <v>2917091.31</v>
      </c>
      <c r="AB43" s="343">
        <f t="shared" si="70"/>
        <v>0</v>
      </c>
      <c r="AC43" s="430">
        <f t="shared" si="70"/>
        <v>0</v>
      </c>
      <c r="AD43" s="343">
        <f t="shared" si="70"/>
        <v>8962259.179999998</v>
      </c>
      <c r="AE43" s="343">
        <f t="shared" si="70"/>
        <v>0</v>
      </c>
      <c r="AF43" s="343">
        <f t="shared" si="70"/>
        <v>0</v>
      </c>
      <c r="AG43" s="343">
        <f t="shared" si="70"/>
        <v>3112817.5900000003</v>
      </c>
      <c r="AH43" s="343">
        <f t="shared" si="70"/>
        <v>0</v>
      </c>
      <c r="AI43" s="343">
        <f t="shared" si="70"/>
        <v>0</v>
      </c>
      <c r="AJ43" s="343">
        <f t="shared" si="70"/>
        <v>3234117.48</v>
      </c>
      <c r="AK43" s="343">
        <f t="shared" si="70"/>
        <v>0</v>
      </c>
      <c r="AL43" s="343">
        <f t="shared" si="70"/>
        <v>0</v>
      </c>
      <c r="AM43" s="343">
        <f t="shared" si="70"/>
        <v>3299261.13</v>
      </c>
      <c r="AN43" s="343">
        <f t="shared" si="70"/>
        <v>0</v>
      </c>
      <c r="AO43" s="343">
        <f t="shared" si="70"/>
        <v>0</v>
      </c>
      <c r="AP43" s="343">
        <f t="shared" si="70"/>
        <v>9646196.200000003</v>
      </c>
      <c r="AQ43" s="343">
        <f t="shared" si="70"/>
        <v>0</v>
      </c>
      <c r="AR43" s="343">
        <f t="shared" si="70"/>
        <v>0</v>
      </c>
      <c r="AS43" s="343">
        <f t="shared" si="70"/>
        <v>3450152.83</v>
      </c>
      <c r="AT43" s="343">
        <f t="shared" si="70"/>
        <v>0</v>
      </c>
      <c r="AU43" s="434">
        <f aca="true" t="shared" si="71" ref="AU43:BV43">AU6+AU8+AU12+AU17+AU22+AU24+AU25+AU26+AU27+AU33</f>
        <v>0</v>
      </c>
      <c r="AV43" s="343">
        <f t="shared" si="71"/>
        <v>3372432.3400000003</v>
      </c>
      <c r="AW43" s="343">
        <f t="shared" si="71"/>
        <v>0</v>
      </c>
      <c r="AX43" s="343">
        <f t="shared" si="71"/>
        <v>0</v>
      </c>
      <c r="AY43" s="343">
        <f t="shared" si="71"/>
        <v>3243741.38</v>
      </c>
      <c r="AZ43" s="343">
        <f t="shared" si="71"/>
        <v>0</v>
      </c>
      <c r="BA43" s="343">
        <f t="shared" si="71"/>
        <v>0</v>
      </c>
      <c r="BB43" s="343">
        <f t="shared" si="71"/>
        <v>10066326.55</v>
      </c>
      <c r="BC43" s="343">
        <f t="shared" si="71"/>
        <v>0</v>
      </c>
      <c r="BD43" s="430">
        <f t="shared" si="71"/>
        <v>0</v>
      </c>
      <c r="BE43" s="430">
        <f t="shared" si="71"/>
        <v>3488833.000000001</v>
      </c>
      <c r="BF43" s="430">
        <f t="shared" si="71"/>
        <v>0</v>
      </c>
      <c r="BG43" s="430">
        <f t="shared" si="71"/>
        <v>0</v>
      </c>
      <c r="BH43" s="430">
        <f t="shared" si="71"/>
        <v>3539861.0599999996</v>
      </c>
      <c r="BI43" s="430">
        <f t="shared" si="71"/>
        <v>0</v>
      </c>
      <c r="BJ43" s="430">
        <f t="shared" si="71"/>
        <v>0</v>
      </c>
      <c r="BK43" s="430">
        <f t="shared" si="71"/>
        <v>0</v>
      </c>
      <c r="BL43" s="430">
        <f t="shared" si="71"/>
        <v>0</v>
      </c>
      <c r="BM43" s="430">
        <f t="shared" si="71"/>
        <v>0</v>
      </c>
      <c r="BN43" s="430">
        <f t="shared" si="71"/>
        <v>7028694.0600000005</v>
      </c>
      <c r="BO43" s="430">
        <f t="shared" si="71"/>
        <v>0</v>
      </c>
      <c r="BP43" s="343">
        <f t="shared" si="71"/>
        <v>0</v>
      </c>
      <c r="BQ43" s="343">
        <f t="shared" si="71"/>
        <v>35703475.99</v>
      </c>
      <c r="BR43" s="343">
        <f t="shared" si="71"/>
        <v>0</v>
      </c>
      <c r="BS43" s="343">
        <f t="shared" si="71"/>
        <v>0</v>
      </c>
      <c r="BT43" s="343">
        <f t="shared" si="71"/>
        <v>0</v>
      </c>
      <c r="BU43" s="343">
        <f t="shared" si="71"/>
        <v>3537934.0099999974</v>
      </c>
      <c r="BV43" s="158">
        <f t="shared" si="71"/>
        <v>0</v>
      </c>
    </row>
    <row r="44" spans="1:80" s="41" customFormat="1" ht="13.5" customHeight="1" thickBot="1">
      <c r="A44" s="40"/>
      <c r="B44" s="23"/>
      <c r="C44" s="79"/>
      <c r="D44" s="37"/>
      <c r="E44" s="67">
        <f>E42+E43</f>
        <v>41523222.08</v>
      </c>
      <c r="F44" s="67">
        <f>F42+F43</f>
        <v>13454033.18</v>
      </c>
      <c r="G44" s="159">
        <f>G42+G43</f>
        <v>14958796.37</v>
      </c>
      <c r="H44" s="67">
        <f>H42+H43</f>
        <v>105906.81999999937</v>
      </c>
      <c r="I44" s="67">
        <f>I42+I43</f>
        <v>-87079.94000000025</v>
      </c>
      <c r="J44" s="398"/>
      <c r="K44" s="129"/>
      <c r="L44" s="165"/>
      <c r="N44" s="287"/>
      <c r="O44" s="515"/>
      <c r="P44" s="515"/>
      <c r="Q44" s="515"/>
      <c r="R44" s="515"/>
      <c r="S44" s="515"/>
      <c r="T44" s="537"/>
      <c r="U44" s="344"/>
      <c r="V44" s="344"/>
      <c r="W44" s="344"/>
      <c r="X44" s="344"/>
      <c r="Y44" s="344"/>
      <c r="Z44" s="344"/>
      <c r="AA44" s="344"/>
      <c r="AB44" s="344"/>
      <c r="AC44" s="431"/>
      <c r="AD44" s="344"/>
      <c r="AE44" s="344"/>
      <c r="AF44" s="344"/>
      <c r="AG44" s="344"/>
      <c r="AH44" s="344"/>
      <c r="AI44" s="344"/>
      <c r="AJ44" s="344"/>
      <c r="AK44" s="344"/>
      <c r="AL44" s="344"/>
      <c r="AM44" s="344"/>
      <c r="AN44" s="344"/>
      <c r="AO44" s="344"/>
      <c r="AP44" s="344"/>
      <c r="AQ44" s="344"/>
      <c r="AR44" s="344"/>
      <c r="AS44" s="344"/>
      <c r="AT44" s="344"/>
      <c r="AU44" s="435"/>
      <c r="AV44" s="344"/>
      <c r="AW44" s="344"/>
      <c r="AX44" s="344"/>
      <c r="AY44" s="344"/>
      <c r="AZ44" s="344"/>
      <c r="BA44" s="344"/>
      <c r="BB44" s="344"/>
      <c r="BC44" s="344"/>
      <c r="BD44" s="431"/>
      <c r="BE44" s="431"/>
      <c r="BF44" s="431"/>
      <c r="BG44" s="431"/>
      <c r="BH44" s="431"/>
      <c r="BI44" s="431"/>
      <c r="BJ44" s="431"/>
      <c r="BK44" s="431"/>
      <c r="BL44" s="431"/>
      <c r="BM44" s="431"/>
      <c r="BN44" s="431"/>
      <c r="BO44" s="431"/>
      <c r="BP44" s="344"/>
      <c r="BQ44" s="344"/>
      <c r="BR44" s="344"/>
      <c r="BS44" s="344"/>
      <c r="BT44" s="344"/>
      <c r="BU44" s="344"/>
      <c r="BV44" s="159"/>
      <c r="BW44" s="406"/>
      <c r="BX44" s="414"/>
      <c r="BY44" s="465"/>
      <c r="CA44" s="465"/>
      <c r="CB44" s="519"/>
    </row>
    <row r="45" spans="1:80" s="13" customFormat="1" ht="18" customHeight="1" thickBot="1">
      <c r="A45" s="727" t="s">
        <v>90</v>
      </c>
      <c r="B45" s="728"/>
      <c r="C45" s="80">
        <f>C5+C11+C14+C21+C23+C30+C31+C34</f>
        <v>13559940</v>
      </c>
      <c r="D45" s="36"/>
      <c r="E45" s="33">
        <f>E5+E11+E14+E21+E23+E30+E31+E34</f>
        <v>13365012.139999999</v>
      </c>
      <c r="F45" s="33">
        <f>F5+F11+F14+F21+F23+F30+F31+F34</f>
        <v>13454033.18</v>
      </c>
      <c r="G45" s="150">
        <f>G5+G11+G14+G21+G23+G30+G31+G34</f>
        <v>14930424.75</v>
      </c>
      <c r="H45" s="33">
        <f>H5+H11+H14+H21+H23+H30+H31+H34</f>
        <v>105906.81999999937</v>
      </c>
      <c r="I45" s="33">
        <f>I5+I11+I14+I21+I23+I30+I31+I34</f>
        <v>0</v>
      </c>
      <c r="J45" s="399"/>
      <c r="K45" s="189"/>
      <c r="L45" s="165"/>
      <c r="M45" s="190"/>
      <c r="N45" s="288"/>
      <c r="O45" s="516">
        <f aca="true" t="shared" si="72" ref="O45:AT45">O5+O9+O11+O21+O23+O32+O34</f>
        <v>3303700</v>
      </c>
      <c r="P45" s="516">
        <f t="shared" si="72"/>
        <v>7942450</v>
      </c>
      <c r="Q45" s="516">
        <f t="shared" si="72"/>
        <v>11702170</v>
      </c>
      <c r="R45" s="516">
        <f t="shared" si="72"/>
        <v>2111170</v>
      </c>
      <c r="S45" s="516">
        <f t="shared" si="72"/>
        <v>4064960</v>
      </c>
      <c r="T45" s="538">
        <f t="shared" si="72"/>
        <v>2222340</v>
      </c>
      <c r="U45" s="345">
        <f t="shared" si="72"/>
        <v>945025.8199999998</v>
      </c>
      <c r="V45" s="345">
        <f t="shared" si="72"/>
        <v>347118.67</v>
      </c>
      <c r="W45" s="345">
        <f t="shared" si="72"/>
        <v>310910.12</v>
      </c>
      <c r="X45" s="345">
        <f t="shared" si="72"/>
        <v>852358.2599999999</v>
      </c>
      <c r="Y45" s="345">
        <f t="shared" si="72"/>
        <v>1199934.48</v>
      </c>
      <c r="Z45" s="345">
        <f t="shared" si="72"/>
        <v>663206.13</v>
      </c>
      <c r="AA45" s="345">
        <f t="shared" si="72"/>
        <v>885327.5700000001</v>
      </c>
      <c r="AB45" s="345">
        <f t="shared" si="72"/>
        <v>405669.42000000004</v>
      </c>
      <c r="AC45" s="432">
        <f t="shared" si="72"/>
        <v>376078.23</v>
      </c>
      <c r="AD45" s="345">
        <f t="shared" si="72"/>
        <v>2682711.6500000004</v>
      </c>
      <c r="AE45" s="345">
        <f t="shared" si="72"/>
        <v>1952722.5699999996</v>
      </c>
      <c r="AF45" s="345">
        <f t="shared" si="72"/>
        <v>1350194.48</v>
      </c>
      <c r="AG45" s="345">
        <f t="shared" si="72"/>
        <v>902859.1499999999</v>
      </c>
      <c r="AH45" s="345">
        <f t="shared" si="72"/>
        <v>315505.74999999994</v>
      </c>
      <c r="AI45" s="345">
        <f t="shared" si="72"/>
        <v>1199922.8599999999</v>
      </c>
      <c r="AJ45" s="345">
        <f t="shared" si="72"/>
        <v>1038022.0499999999</v>
      </c>
      <c r="AK45" s="345">
        <f t="shared" si="72"/>
        <v>2036440.18</v>
      </c>
      <c r="AL45" s="345">
        <f t="shared" si="72"/>
        <v>405705.15</v>
      </c>
      <c r="AM45" s="345">
        <f t="shared" si="72"/>
        <v>985449.7200000001</v>
      </c>
      <c r="AN45" s="345">
        <f t="shared" si="72"/>
        <v>906038.55</v>
      </c>
      <c r="AO45" s="345">
        <f t="shared" si="72"/>
        <v>315505.74999999994</v>
      </c>
      <c r="AP45" s="345">
        <f t="shared" si="72"/>
        <v>2926330.92</v>
      </c>
      <c r="AQ45" s="345">
        <f t="shared" si="72"/>
        <v>3257984.48</v>
      </c>
      <c r="AR45" s="345">
        <f t="shared" si="72"/>
        <v>1921133.7599999998</v>
      </c>
      <c r="AS45" s="345">
        <f t="shared" si="72"/>
        <v>915691.6699999999</v>
      </c>
      <c r="AT45" s="345">
        <f t="shared" si="72"/>
        <v>891151.7000000001</v>
      </c>
      <c r="AU45" s="436">
        <f aca="true" t="shared" si="73" ref="AU45:BV45">AU5+AU9+AU11+AU21+AU23+AU32+AU34</f>
        <v>2036440.18</v>
      </c>
      <c r="AV45" s="345">
        <f t="shared" si="73"/>
        <v>959769.5399999999</v>
      </c>
      <c r="AW45" s="345">
        <f t="shared" si="73"/>
        <v>756997.95</v>
      </c>
      <c r="AX45" s="345">
        <f t="shared" si="73"/>
        <v>529965.61</v>
      </c>
      <c r="AY45" s="345">
        <f t="shared" si="73"/>
        <v>771605.6599999999</v>
      </c>
      <c r="AZ45" s="345">
        <f t="shared" si="73"/>
        <v>885868.3600000001</v>
      </c>
      <c r="BA45" s="345">
        <f t="shared" si="73"/>
        <v>1267217.2000000002</v>
      </c>
      <c r="BB45" s="345">
        <f t="shared" si="73"/>
        <v>2647066.869999999</v>
      </c>
      <c r="BC45" s="345">
        <f t="shared" si="73"/>
        <v>2534018.0100000002</v>
      </c>
      <c r="BD45" s="432">
        <f t="shared" si="73"/>
        <v>3833622.9899999998</v>
      </c>
      <c r="BE45" s="432">
        <f t="shared" si="73"/>
        <v>1076180.8199999998</v>
      </c>
      <c r="BF45" s="432">
        <f t="shared" si="73"/>
        <v>1348144.24</v>
      </c>
      <c r="BG45" s="432">
        <f t="shared" si="73"/>
        <v>756992.6100000001</v>
      </c>
      <c r="BH45" s="432">
        <f t="shared" si="73"/>
        <v>889682.2</v>
      </c>
      <c r="BI45" s="432">
        <f t="shared" si="73"/>
        <v>627453.3899999999</v>
      </c>
      <c r="BJ45" s="432">
        <f t="shared" si="73"/>
        <v>877084.58</v>
      </c>
      <c r="BK45" s="432">
        <f t="shared" si="73"/>
        <v>0</v>
      </c>
      <c r="BL45" s="432">
        <f t="shared" si="73"/>
        <v>0</v>
      </c>
      <c r="BM45" s="432">
        <f t="shared" si="73"/>
        <v>212364.05</v>
      </c>
      <c r="BN45" s="432">
        <f t="shared" si="73"/>
        <v>1965863.0200000003</v>
      </c>
      <c r="BO45" s="432">
        <f t="shared" si="73"/>
        <v>1975597.63</v>
      </c>
      <c r="BP45" s="345">
        <f t="shared" si="73"/>
        <v>1846441.24</v>
      </c>
      <c r="BQ45" s="345">
        <f t="shared" si="73"/>
        <v>10221972.459999999</v>
      </c>
      <c r="BR45" s="345">
        <f t="shared" si="73"/>
        <v>9720322.69</v>
      </c>
      <c r="BS45" s="345">
        <f t="shared" si="73"/>
        <v>8951392.469999999</v>
      </c>
      <c r="BT45" s="345">
        <f t="shared" si="73"/>
        <v>1981847.3100000005</v>
      </c>
      <c r="BU45" s="345">
        <f t="shared" si="73"/>
        <v>0</v>
      </c>
      <c r="BV45" s="150">
        <f t="shared" si="73"/>
        <v>2079269.020000001</v>
      </c>
      <c r="BW45" s="407"/>
      <c r="BX45" s="413"/>
      <c r="BY45" s="466"/>
      <c r="CA45" s="466"/>
      <c r="CB45" s="520"/>
    </row>
    <row r="46" spans="1:80" s="26" customFormat="1" ht="42" customHeight="1">
      <c r="A46" s="729" t="s">
        <v>38</v>
      </c>
      <c r="B46" s="729"/>
      <c r="C46" s="729"/>
      <c r="D46" s="729"/>
      <c r="E46" s="729"/>
      <c r="F46" s="729"/>
      <c r="G46" s="729"/>
      <c r="H46" s="729"/>
      <c r="I46" s="729"/>
      <c r="J46" s="130"/>
      <c r="K46" s="130"/>
      <c r="L46" s="166"/>
      <c r="N46" s="96"/>
      <c r="O46" s="226"/>
      <c r="P46" s="220"/>
      <c r="Q46" s="541" t="s">
        <v>141</v>
      </c>
      <c r="R46" s="220"/>
      <c r="S46" s="220"/>
      <c r="T46" s="220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95"/>
      <c r="BD46" s="95"/>
      <c r="BE46" s="95"/>
      <c r="BF46" s="95"/>
      <c r="BG46" s="95"/>
      <c r="BH46" s="95"/>
      <c r="BI46" s="95"/>
      <c r="BJ46" s="95"/>
      <c r="BK46" s="95"/>
      <c r="BL46" s="95"/>
      <c r="BM46" s="95"/>
      <c r="BN46" s="95"/>
      <c r="BO46" s="95"/>
      <c r="BP46" s="95"/>
      <c r="BW46" s="408"/>
      <c r="BX46" s="415"/>
      <c r="BY46" s="467"/>
      <c r="BZ46" s="507"/>
      <c r="CA46" s="467"/>
      <c r="CB46" s="521"/>
    </row>
    <row r="47" spans="10:79" ht="15">
      <c r="J47" s="127" t="s">
        <v>138</v>
      </c>
      <c r="Q47" s="219" t="s">
        <v>139</v>
      </c>
      <c r="CA47" s="539">
        <v>43454</v>
      </c>
    </row>
    <row r="48" ht="15">
      <c r="Q48" s="219" t="s">
        <v>140</v>
      </c>
    </row>
  </sheetData>
  <sheetProtection/>
  <mergeCells count="22">
    <mergeCell ref="A45:B45"/>
    <mergeCell ref="A46:I46"/>
    <mergeCell ref="A34:B34"/>
    <mergeCell ref="A35:B35"/>
    <mergeCell ref="A38:B38"/>
    <mergeCell ref="A42:B42"/>
    <mergeCell ref="A36:B36"/>
    <mergeCell ref="A37:B37"/>
    <mergeCell ref="A18:B18"/>
    <mergeCell ref="A19:A20"/>
    <mergeCell ref="A21:B21"/>
    <mergeCell ref="A22:A27"/>
    <mergeCell ref="A28:B28"/>
    <mergeCell ref="A29:A31"/>
    <mergeCell ref="A32:B32"/>
    <mergeCell ref="A33:B33"/>
    <mergeCell ref="A11:A12"/>
    <mergeCell ref="A14:A16"/>
    <mergeCell ref="A3:D3"/>
    <mergeCell ref="A5:A6"/>
    <mergeCell ref="A7:B7"/>
    <mergeCell ref="A10:B10"/>
  </mergeCells>
  <printOptions/>
  <pageMargins left="0.16" right="0.2" top="0.24" bottom="0.23" header="0.2" footer="0.21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46"/>
  <sheetViews>
    <sheetView zoomScalePageLayoutView="0" workbookViewId="0" topLeftCell="A4">
      <pane xSplit="11340" ySplit="1380" topLeftCell="M1" activePane="bottomRight" state="split"/>
      <selection pane="topLeft" activeCell="AJ14" sqref="AJ14"/>
      <selection pane="topRight" activeCell="G4" sqref="G4"/>
      <selection pane="bottomLeft" activeCell="A1" sqref="A1"/>
      <selection pane="bottomRight" activeCell="AJ8" sqref="AJ8"/>
    </sheetView>
  </sheetViews>
  <sheetFormatPr defaultColWidth="9.140625" defaultRowHeight="12.75"/>
  <cols>
    <col min="1" max="1" width="14.140625" style="18" customWidth="1"/>
    <col min="2" max="2" width="26.8515625" style="19" customWidth="1"/>
    <col min="3" max="3" width="13.8515625" style="74" bestFit="1" customWidth="1"/>
    <col min="4" max="4" width="13.28125" style="9" bestFit="1" customWidth="1"/>
    <col min="5" max="5" width="12.57421875" style="27" customWidth="1"/>
    <col min="6" max="6" width="12.8515625" style="27" bestFit="1" customWidth="1"/>
    <col min="7" max="7" width="11.28125" style="127" bestFit="1" customWidth="1"/>
    <col min="8" max="8" width="10.7109375" style="28" bestFit="1" customWidth="1"/>
    <col min="9" max="9" width="10.8515625" style="28" bestFit="1" customWidth="1"/>
    <col min="10" max="10" width="11.8515625" style="27" bestFit="1" customWidth="1"/>
    <col min="11" max="11" width="11.7109375" style="127" customWidth="1"/>
    <col min="12" max="12" width="9.421875" style="161" bestFit="1" customWidth="1"/>
    <col min="13" max="13" width="10.140625" style="10" customWidth="1"/>
    <col min="14" max="14" width="13.8515625" style="221" customWidth="1"/>
    <col min="15" max="16" width="13.7109375" style="219" customWidth="1"/>
    <col min="17" max="17" width="10.140625" style="28" customWidth="1"/>
    <col min="18" max="18" width="0" style="27" hidden="1" customWidth="1"/>
    <col min="19" max="20" width="10.140625" style="27" hidden="1" customWidth="1"/>
    <col min="21" max="22" width="0" style="27" hidden="1" customWidth="1"/>
    <col min="23" max="29" width="10.140625" style="27" hidden="1" customWidth="1"/>
    <col min="30" max="32" width="10.421875" style="10" hidden="1" customWidth="1"/>
    <col min="33" max="33" width="13.00390625" style="10" hidden="1" customWidth="1"/>
    <col min="34" max="34" width="12.00390625" style="10" hidden="1" customWidth="1"/>
    <col min="35" max="35" width="10.421875" style="10" hidden="1" customWidth="1"/>
    <col min="36" max="16384" width="9.140625" style="10" customWidth="1"/>
  </cols>
  <sheetData>
    <row r="1" spans="1:12" ht="13.5" customHeight="1">
      <c r="A1" s="43" t="s">
        <v>1</v>
      </c>
      <c r="B1" s="43"/>
      <c r="C1" s="73"/>
      <c r="D1" s="44"/>
      <c r="L1" s="160"/>
    </row>
    <row r="2" ht="15.75" customHeight="1"/>
    <row r="3" spans="1:12" ht="15.75" customHeight="1" thickBot="1">
      <c r="A3" s="722" t="s">
        <v>66</v>
      </c>
      <c r="B3" s="722"/>
      <c r="C3" s="722"/>
      <c r="D3" s="722"/>
      <c r="L3" s="162"/>
    </row>
    <row r="4" spans="1:35" s="18" customFormat="1" ht="56.25" customHeight="1" thickBot="1">
      <c r="A4" s="20" t="s">
        <v>2</v>
      </c>
      <c r="B4" s="21" t="s">
        <v>3</v>
      </c>
      <c r="C4" s="135" t="s">
        <v>44</v>
      </c>
      <c r="D4" s="45" t="s">
        <v>40</v>
      </c>
      <c r="E4" s="112" t="s">
        <v>50</v>
      </c>
      <c r="F4" s="113" t="s">
        <v>51</v>
      </c>
      <c r="G4" s="144" t="s">
        <v>60</v>
      </c>
      <c r="H4" s="142" t="s">
        <v>48</v>
      </c>
      <c r="I4" s="290" t="s">
        <v>49</v>
      </c>
      <c r="J4" s="131" t="s">
        <v>61</v>
      </c>
      <c r="K4" s="132" t="s">
        <v>54</v>
      </c>
      <c r="L4" s="170" t="s">
        <v>42</v>
      </c>
      <c r="M4" s="192" t="s">
        <v>62</v>
      </c>
      <c r="N4" s="337" t="s">
        <v>63</v>
      </c>
      <c r="O4" s="337" t="s">
        <v>64</v>
      </c>
      <c r="P4" s="338" t="s">
        <v>65</v>
      </c>
      <c r="Q4" s="289" t="s">
        <v>69</v>
      </c>
      <c r="R4" s="294" t="s">
        <v>70</v>
      </c>
      <c r="S4" s="295" t="s">
        <v>71</v>
      </c>
      <c r="T4" s="306" t="s">
        <v>72</v>
      </c>
      <c r="U4" s="294" t="s">
        <v>73</v>
      </c>
      <c r="V4" s="295" t="s">
        <v>74</v>
      </c>
      <c r="W4" s="296" t="s">
        <v>75</v>
      </c>
      <c r="X4" s="294" t="s">
        <v>82</v>
      </c>
      <c r="Y4" s="295" t="s">
        <v>83</v>
      </c>
      <c r="Z4" s="306" t="s">
        <v>84</v>
      </c>
      <c r="AA4" s="294" t="s">
        <v>86</v>
      </c>
      <c r="AB4" s="295" t="s">
        <v>85</v>
      </c>
      <c r="AC4" s="306" t="s">
        <v>87</v>
      </c>
      <c r="AD4" s="112" t="s">
        <v>76</v>
      </c>
      <c r="AE4" s="113" t="s">
        <v>77</v>
      </c>
      <c r="AF4" s="144" t="s">
        <v>78</v>
      </c>
      <c r="AG4" s="142" t="s">
        <v>79</v>
      </c>
      <c r="AH4" s="143" t="s">
        <v>80</v>
      </c>
      <c r="AI4" s="323" t="s">
        <v>81</v>
      </c>
    </row>
    <row r="5" spans="1:35" s="1" customFormat="1" ht="18.75" customHeight="1">
      <c r="A5" s="716" t="s">
        <v>7</v>
      </c>
      <c r="B5" s="7" t="s">
        <v>4</v>
      </c>
      <c r="C5" s="81">
        <f>2843980+8400000+300000+300000</f>
        <v>11843980</v>
      </c>
      <c r="D5" s="48">
        <v>2085176</v>
      </c>
      <c r="E5" s="102">
        <v>11608682.78</v>
      </c>
      <c r="F5" s="103">
        <v>11742482.05</v>
      </c>
      <c r="G5" s="145">
        <v>13080765.34</v>
      </c>
      <c r="H5" s="136">
        <v>101497.94999999925</v>
      </c>
      <c r="I5" s="97"/>
      <c r="J5" s="89">
        <v>2218975.27</v>
      </c>
      <c r="K5" s="133">
        <v>967390.2316666666</v>
      </c>
      <c r="L5" s="172"/>
      <c r="M5" s="171"/>
      <c r="N5" s="232">
        <v>2697650</v>
      </c>
      <c r="O5" s="242">
        <v>5525420</v>
      </c>
      <c r="P5" s="249">
        <f>N5+O5</f>
        <v>8223070</v>
      </c>
      <c r="Q5" s="291"/>
      <c r="R5" s="307"/>
      <c r="S5" s="308">
        <v>292736.3</v>
      </c>
      <c r="T5" s="309">
        <v>82025.8</v>
      </c>
      <c r="U5" s="307"/>
      <c r="V5" s="308"/>
      <c r="W5" s="309">
        <v>538145.91</v>
      </c>
      <c r="X5" s="307"/>
      <c r="Y5" s="308"/>
      <c r="Z5" s="309"/>
      <c r="AA5" s="307">
        <f>R5+U5+X5</f>
        <v>0</v>
      </c>
      <c r="AB5" s="308">
        <f>S5+V5+Y5</f>
        <v>292736.3</v>
      </c>
      <c r="AC5" s="309">
        <f>T5+W5+Z5</f>
        <v>620171.7100000001</v>
      </c>
      <c r="AD5" s="307">
        <f>AA5</f>
        <v>0</v>
      </c>
      <c r="AE5" s="308">
        <f>AB5</f>
        <v>292736.3</v>
      </c>
      <c r="AF5" s="310">
        <f>AC5</f>
        <v>620171.7100000001</v>
      </c>
      <c r="AG5" s="321"/>
      <c r="AH5" s="298"/>
      <c r="AI5" s="324"/>
    </row>
    <row r="6" spans="1:35" s="1" customFormat="1" ht="18.75" customHeight="1" thickBot="1">
      <c r="A6" s="717"/>
      <c r="B6" s="22" t="s">
        <v>5</v>
      </c>
      <c r="C6" s="85">
        <f>2550000+7472360-300000</f>
        <v>9722360</v>
      </c>
      <c r="D6" s="52"/>
      <c r="E6" s="106">
        <v>9768801.15</v>
      </c>
      <c r="F6" s="107">
        <v>0</v>
      </c>
      <c r="G6" s="151">
        <v>0</v>
      </c>
      <c r="H6" s="139"/>
      <c r="I6" s="99">
        <v>-46441.15000000037</v>
      </c>
      <c r="J6" s="91"/>
      <c r="K6" s="257">
        <v>814066.7625000001</v>
      </c>
      <c r="L6" s="177">
        <v>84020</v>
      </c>
      <c r="M6" s="193"/>
      <c r="N6" s="233">
        <v>2700000</v>
      </c>
      <c r="O6" s="243">
        <v>5000000</v>
      </c>
      <c r="P6" s="250">
        <f aca="true" t="shared" si="0" ref="P6:P37">N6+O6</f>
        <v>7700000</v>
      </c>
      <c r="Q6" s="291"/>
      <c r="R6" s="311"/>
      <c r="S6" s="312"/>
      <c r="T6" s="313"/>
      <c r="U6" s="311"/>
      <c r="V6" s="312"/>
      <c r="W6" s="313"/>
      <c r="X6" s="311"/>
      <c r="Y6" s="312"/>
      <c r="Z6" s="313"/>
      <c r="AA6" s="311">
        <f aca="true" t="shared" si="1" ref="AA6:AA37">R6+U6+X6</f>
        <v>0</v>
      </c>
      <c r="AB6" s="312">
        <f aca="true" t="shared" si="2" ref="AB6:AB37">S6+V6+Y6</f>
        <v>0</v>
      </c>
      <c r="AC6" s="313">
        <f aca="true" t="shared" si="3" ref="AC6:AC37">T6+W6+Z6</f>
        <v>0</v>
      </c>
      <c r="AD6" s="311">
        <f aca="true" t="shared" si="4" ref="AD6:AD37">AA6</f>
        <v>0</v>
      </c>
      <c r="AE6" s="312">
        <f aca="true" t="shared" si="5" ref="AE6:AE37">AB6</f>
        <v>0</v>
      </c>
      <c r="AF6" s="314">
        <f aca="true" t="shared" si="6" ref="AF6:AF37">AC6</f>
        <v>0</v>
      </c>
      <c r="AG6" s="322"/>
      <c r="AH6" s="300"/>
      <c r="AI6" s="171"/>
    </row>
    <row r="7" spans="1:35" s="1" customFormat="1" ht="24" customHeight="1" thickBot="1">
      <c r="A7" s="719" t="s">
        <v>45</v>
      </c>
      <c r="B7" s="720"/>
      <c r="C7" s="84">
        <f>C5+C6</f>
        <v>21566340</v>
      </c>
      <c r="D7" s="285">
        <f aca="true" t="shared" si="7" ref="D7:P7">D5+D6</f>
        <v>2085176</v>
      </c>
      <c r="E7" s="285">
        <f t="shared" si="7"/>
        <v>21377483.93</v>
      </c>
      <c r="F7" s="285">
        <f t="shared" si="7"/>
        <v>11742482.05</v>
      </c>
      <c r="G7" s="285">
        <f t="shared" si="7"/>
        <v>13080765.34</v>
      </c>
      <c r="H7" s="285">
        <f t="shared" si="7"/>
        <v>101497.94999999925</v>
      </c>
      <c r="I7" s="285">
        <f t="shared" si="7"/>
        <v>-46441.15000000037</v>
      </c>
      <c r="J7" s="285">
        <f t="shared" si="7"/>
        <v>2218975.27</v>
      </c>
      <c r="K7" s="285">
        <f t="shared" si="7"/>
        <v>1781456.9941666666</v>
      </c>
      <c r="L7" s="285">
        <f t="shared" si="7"/>
        <v>84020</v>
      </c>
      <c r="M7" s="286">
        <f>F5+E6+L6-C7</f>
        <v>28963.20000000298</v>
      </c>
      <c r="N7" s="285">
        <f t="shared" si="7"/>
        <v>5397650</v>
      </c>
      <c r="O7" s="285">
        <f t="shared" si="7"/>
        <v>10525420</v>
      </c>
      <c r="P7" s="285">
        <f t="shared" si="7"/>
        <v>15923070</v>
      </c>
      <c r="Q7" s="292">
        <v>28963.2</v>
      </c>
      <c r="R7" s="311"/>
      <c r="S7" s="312"/>
      <c r="T7" s="313"/>
      <c r="U7" s="311"/>
      <c r="V7" s="312"/>
      <c r="W7" s="313"/>
      <c r="X7" s="311"/>
      <c r="Y7" s="312"/>
      <c r="Z7" s="313"/>
      <c r="AA7" s="311">
        <f t="shared" si="1"/>
        <v>0</v>
      </c>
      <c r="AB7" s="312">
        <f t="shared" si="2"/>
        <v>0</v>
      </c>
      <c r="AC7" s="313">
        <f t="shared" si="3"/>
        <v>0</v>
      </c>
      <c r="AD7" s="311">
        <f t="shared" si="4"/>
        <v>0</v>
      </c>
      <c r="AE7" s="312">
        <f t="shared" si="5"/>
        <v>0</v>
      </c>
      <c r="AF7" s="314">
        <f t="shared" si="6"/>
        <v>0</v>
      </c>
      <c r="AG7" s="322"/>
      <c r="AH7" s="300"/>
      <c r="AI7" s="171"/>
    </row>
    <row r="8" spans="1:35" s="1" customFormat="1" ht="18.75" customHeight="1">
      <c r="A8" s="115"/>
      <c r="B8" s="116" t="s">
        <v>33</v>
      </c>
      <c r="C8" s="117">
        <f>442840+4562790-2200000</f>
        <v>2805630</v>
      </c>
      <c r="D8" s="114"/>
      <c r="E8" s="274">
        <v>2212033.89</v>
      </c>
      <c r="F8" s="275">
        <v>0</v>
      </c>
      <c r="G8" s="276">
        <v>0</v>
      </c>
      <c r="H8" s="277">
        <v>593596.11</v>
      </c>
      <c r="I8" s="278">
        <v>593596.11</v>
      </c>
      <c r="J8" s="279"/>
      <c r="K8" s="280">
        <v>184336.1575</v>
      </c>
      <c r="L8" s="174"/>
      <c r="M8" s="281"/>
      <c r="N8" s="282">
        <v>536410</v>
      </c>
      <c r="O8" s="283">
        <v>4476150</v>
      </c>
      <c r="P8" s="284">
        <f>N8+O8</f>
        <v>5012560</v>
      </c>
      <c r="Q8" s="291"/>
      <c r="R8" s="311"/>
      <c r="S8" s="312"/>
      <c r="T8" s="313"/>
      <c r="U8" s="311"/>
      <c r="V8" s="312"/>
      <c r="W8" s="313"/>
      <c r="X8" s="311"/>
      <c r="Y8" s="312"/>
      <c r="Z8" s="313"/>
      <c r="AA8" s="311">
        <f t="shared" si="1"/>
        <v>0</v>
      </c>
      <c r="AB8" s="312">
        <f t="shared" si="2"/>
        <v>0</v>
      </c>
      <c r="AC8" s="313">
        <f t="shared" si="3"/>
        <v>0</v>
      </c>
      <c r="AD8" s="311">
        <f t="shared" si="4"/>
        <v>0</v>
      </c>
      <c r="AE8" s="312">
        <f t="shared" si="5"/>
        <v>0</v>
      </c>
      <c r="AF8" s="314">
        <f t="shared" si="6"/>
        <v>0</v>
      </c>
      <c r="AG8" s="322"/>
      <c r="AH8" s="300"/>
      <c r="AI8" s="171"/>
    </row>
    <row r="9" spans="1:35" s="1" customFormat="1" ht="18.75" customHeight="1" thickBot="1">
      <c r="A9" s="259"/>
      <c r="B9" s="273" t="s">
        <v>67</v>
      </c>
      <c r="C9" s="260"/>
      <c r="D9" s="261"/>
      <c r="E9" s="256"/>
      <c r="F9" s="262"/>
      <c r="G9" s="263"/>
      <c r="H9" s="264"/>
      <c r="I9" s="265"/>
      <c r="J9" s="256"/>
      <c r="K9" s="257"/>
      <c r="L9" s="266"/>
      <c r="M9" s="193"/>
      <c r="N9" s="230">
        <v>165000</v>
      </c>
      <c r="O9" s="241">
        <v>1485000</v>
      </c>
      <c r="P9" s="248">
        <f>N9+O9</f>
        <v>1650000</v>
      </c>
      <c r="Q9" s="291"/>
      <c r="R9" s="311"/>
      <c r="S9" s="312"/>
      <c r="T9" s="313"/>
      <c r="U9" s="311"/>
      <c r="V9" s="312"/>
      <c r="W9" s="313"/>
      <c r="X9" s="311"/>
      <c r="Y9" s="312"/>
      <c r="Z9" s="313"/>
      <c r="AA9" s="311">
        <f t="shared" si="1"/>
        <v>0</v>
      </c>
      <c r="AB9" s="312">
        <f t="shared" si="2"/>
        <v>0</v>
      </c>
      <c r="AC9" s="313">
        <f t="shared" si="3"/>
        <v>0</v>
      </c>
      <c r="AD9" s="311">
        <f t="shared" si="4"/>
        <v>0</v>
      </c>
      <c r="AE9" s="312">
        <f t="shared" si="5"/>
        <v>0</v>
      </c>
      <c r="AF9" s="314">
        <f t="shared" si="6"/>
        <v>0</v>
      </c>
      <c r="AG9" s="322"/>
      <c r="AH9" s="300"/>
      <c r="AI9" s="171"/>
    </row>
    <row r="10" spans="1:35" s="1" customFormat="1" ht="23.25" customHeight="1" thickBot="1">
      <c r="A10" s="719" t="s">
        <v>68</v>
      </c>
      <c r="B10" s="720"/>
      <c r="C10" s="84">
        <f>C8+C9</f>
        <v>2805630</v>
      </c>
      <c r="D10" s="285">
        <f aca="true" t="shared" si="8" ref="D10:P10">D8+D9</f>
        <v>0</v>
      </c>
      <c r="E10" s="285">
        <f t="shared" si="8"/>
        <v>2212033.89</v>
      </c>
      <c r="F10" s="285">
        <f t="shared" si="8"/>
        <v>0</v>
      </c>
      <c r="G10" s="285">
        <f t="shared" si="8"/>
        <v>0</v>
      </c>
      <c r="H10" s="285">
        <f t="shared" si="8"/>
        <v>593596.11</v>
      </c>
      <c r="I10" s="285">
        <f t="shared" si="8"/>
        <v>593596.11</v>
      </c>
      <c r="J10" s="285">
        <f t="shared" si="8"/>
        <v>0</v>
      </c>
      <c r="K10" s="285">
        <f t="shared" si="8"/>
        <v>184336.1575</v>
      </c>
      <c r="L10" s="285">
        <f t="shared" si="8"/>
        <v>0</v>
      </c>
      <c r="M10" s="285">
        <f t="shared" si="8"/>
        <v>0</v>
      </c>
      <c r="N10" s="285">
        <f t="shared" si="8"/>
        <v>701410</v>
      </c>
      <c r="O10" s="285">
        <f t="shared" si="8"/>
        <v>5961150</v>
      </c>
      <c r="P10" s="285">
        <f t="shared" si="8"/>
        <v>6662560</v>
      </c>
      <c r="Q10" s="291"/>
      <c r="R10" s="311"/>
      <c r="S10" s="312"/>
      <c r="T10" s="313"/>
      <c r="U10" s="311"/>
      <c r="V10" s="312"/>
      <c r="W10" s="313"/>
      <c r="X10" s="311"/>
      <c r="Y10" s="312"/>
      <c r="Z10" s="313"/>
      <c r="AA10" s="311">
        <f t="shared" si="1"/>
        <v>0</v>
      </c>
      <c r="AB10" s="312">
        <f t="shared" si="2"/>
        <v>0</v>
      </c>
      <c r="AC10" s="313">
        <f t="shared" si="3"/>
        <v>0</v>
      </c>
      <c r="AD10" s="311">
        <f t="shared" si="4"/>
        <v>0</v>
      </c>
      <c r="AE10" s="312">
        <f t="shared" si="5"/>
        <v>0</v>
      </c>
      <c r="AF10" s="314">
        <f t="shared" si="6"/>
        <v>0</v>
      </c>
      <c r="AG10" s="322"/>
      <c r="AH10" s="300"/>
      <c r="AI10" s="171"/>
    </row>
    <row r="11" spans="1:35" s="1" customFormat="1" ht="18" customHeight="1">
      <c r="A11" s="716" t="s">
        <v>6</v>
      </c>
      <c r="B11" s="7" t="s">
        <v>4</v>
      </c>
      <c r="C11" s="81">
        <f>6000+17500</f>
        <v>23500</v>
      </c>
      <c r="D11" s="51">
        <v>20243.91</v>
      </c>
      <c r="E11" s="267">
        <v>34358.02</v>
      </c>
      <c r="F11" s="268">
        <v>23242.04</v>
      </c>
      <c r="G11" s="269">
        <v>26251.96</v>
      </c>
      <c r="H11" s="270">
        <v>257.9599999999991</v>
      </c>
      <c r="I11" s="271"/>
      <c r="J11" s="272">
        <v>9127.929999999993</v>
      </c>
      <c r="K11" s="258">
        <v>2863.1683333333335</v>
      </c>
      <c r="L11" s="176"/>
      <c r="M11" s="194"/>
      <c r="N11" s="232">
        <v>4500</v>
      </c>
      <c r="O11" s="242">
        <v>19220</v>
      </c>
      <c r="P11" s="249">
        <f t="shared" si="0"/>
        <v>23720</v>
      </c>
      <c r="Q11" s="291"/>
      <c r="R11" s="311"/>
      <c r="S11" s="312"/>
      <c r="T11" s="313">
        <v>3494.03</v>
      </c>
      <c r="U11" s="311"/>
      <c r="V11" s="312"/>
      <c r="W11" s="313"/>
      <c r="X11" s="311"/>
      <c r="Y11" s="312"/>
      <c r="Z11" s="313"/>
      <c r="AA11" s="311">
        <f t="shared" si="1"/>
        <v>0</v>
      </c>
      <c r="AB11" s="312">
        <f t="shared" si="2"/>
        <v>0</v>
      </c>
      <c r="AC11" s="313">
        <f t="shared" si="3"/>
        <v>3494.03</v>
      </c>
      <c r="AD11" s="311">
        <f t="shared" si="4"/>
        <v>0</v>
      </c>
      <c r="AE11" s="312">
        <f t="shared" si="5"/>
        <v>0</v>
      </c>
      <c r="AF11" s="314">
        <f t="shared" si="6"/>
        <v>3494.03</v>
      </c>
      <c r="AG11" s="322"/>
      <c r="AH11" s="300"/>
      <c r="AI11" s="171"/>
    </row>
    <row r="12" spans="1:35" s="1" customFormat="1" ht="18" customHeight="1" thickBot="1">
      <c r="A12" s="717"/>
      <c r="B12" s="22" t="s">
        <v>5</v>
      </c>
      <c r="C12" s="85">
        <f>2694650+6756950+537830+1774580+1865280+1000000</f>
        <v>14629290</v>
      </c>
      <c r="D12" s="52"/>
      <c r="E12" s="104">
        <v>14694891.51</v>
      </c>
      <c r="F12" s="105">
        <v>0</v>
      </c>
      <c r="G12" s="146">
        <v>0</v>
      </c>
      <c r="H12" s="137"/>
      <c r="I12" s="98">
        <v>-65601.50999999978</v>
      </c>
      <c r="J12" s="90"/>
      <c r="K12" s="133">
        <v>1224574.2925</v>
      </c>
      <c r="L12" s="177">
        <v>88070</v>
      </c>
      <c r="M12" s="193"/>
      <c r="N12" s="233">
        <v>3621090</v>
      </c>
      <c r="O12" s="243">
        <v>5963000</v>
      </c>
      <c r="P12" s="250">
        <f t="shared" si="0"/>
        <v>9584090</v>
      </c>
      <c r="Q12" s="291"/>
      <c r="R12" s="311"/>
      <c r="S12" s="312"/>
      <c r="T12" s="313"/>
      <c r="U12" s="311"/>
      <c r="V12" s="312"/>
      <c r="W12" s="313"/>
      <c r="X12" s="311"/>
      <c r="Y12" s="312"/>
      <c r="Z12" s="313"/>
      <c r="AA12" s="311">
        <f t="shared" si="1"/>
        <v>0</v>
      </c>
      <c r="AB12" s="312">
        <f t="shared" si="2"/>
        <v>0</v>
      </c>
      <c r="AC12" s="313">
        <f t="shared" si="3"/>
        <v>0</v>
      </c>
      <c r="AD12" s="311">
        <f t="shared" si="4"/>
        <v>0</v>
      </c>
      <c r="AE12" s="312">
        <f t="shared" si="5"/>
        <v>0</v>
      </c>
      <c r="AF12" s="314">
        <f t="shared" si="6"/>
        <v>0</v>
      </c>
      <c r="AG12" s="322"/>
      <c r="AH12" s="300"/>
      <c r="AI12" s="171"/>
    </row>
    <row r="13" spans="1:35" s="1" customFormat="1" ht="22.5" customHeight="1" thickBot="1">
      <c r="A13" s="3" t="s">
        <v>8</v>
      </c>
      <c r="B13" s="5" t="s">
        <v>9</v>
      </c>
      <c r="C13" s="84">
        <f>C11+C12</f>
        <v>14652790</v>
      </c>
      <c r="D13" s="33"/>
      <c r="E13" s="70">
        <v>14729249.53</v>
      </c>
      <c r="F13" s="70">
        <v>23242.04</v>
      </c>
      <c r="G13" s="148">
        <v>26251.96</v>
      </c>
      <c r="H13" s="62">
        <v>257.9599999999991</v>
      </c>
      <c r="I13" s="65">
        <v>-65601.50999999978</v>
      </c>
      <c r="J13" s="70">
        <v>9127.929999999993</v>
      </c>
      <c r="K13" s="133">
        <v>1227437.4608333332</v>
      </c>
      <c r="L13" s="175">
        <v>88070</v>
      </c>
      <c r="M13" s="195">
        <v>153413.54999999888</v>
      </c>
      <c r="N13" s="231">
        <f>N11+N12</f>
        <v>3625590</v>
      </c>
      <c r="O13" s="231">
        <f>O11+O12</f>
        <v>5982220</v>
      </c>
      <c r="P13" s="222">
        <f>P11+P12</f>
        <v>9607810</v>
      </c>
      <c r="Q13" s="292">
        <v>153413.55</v>
      </c>
      <c r="R13" s="311"/>
      <c r="S13" s="312"/>
      <c r="T13" s="313"/>
      <c r="U13" s="311"/>
      <c r="V13" s="312"/>
      <c r="W13" s="313"/>
      <c r="X13" s="311"/>
      <c r="Y13" s="312"/>
      <c r="Z13" s="313"/>
      <c r="AA13" s="311">
        <f t="shared" si="1"/>
        <v>0</v>
      </c>
      <c r="AB13" s="312">
        <f t="shared" si="2"/>
        <v>0</v>
      </c>
      <c r="AC13" s="313">
        <f t="shared" si="3"/>
        <v>0</v>
      </c>
      <c r="AD13" s="311">
        <f t="shared" si="4"/>
        <v>0</v>
      </c>
      <c r="AE13" s="312">
        <f t="shared" si="5"/>
        <v>0</v>
      </c>
      <c r="AF13" s="314">
        <f t="shared" si="6"/>
        <v>0</v>
      </c>
      <c r="AG13" s="322"/>
      <c r="AH13" s="300"/>
      <c r="AI13" s="171"/>
    </row>
    <row r="14" spans="1:35" s="1" customFormat="1" ht="16.5" customHeight="1">
      <c r="A14" s="718" t="s">
        <v>6</v>
      </c>
      <c r="B14" s="7" t="s">
        <v>22</v>
      </c>
      <c r="C14" s="81">
        <v>0</v>
      </c>
      <c r="D14" s="53">
        <v>0</v>
      </c>
      <c r="E14" s="104">
        <v>0</v>
      </c>
      <c r="F14" s="105">
        <v>0</v>
      </c>
      <c r="G14" s="146">
        <v>0</v>
      </c>
      <c r="H14" s="137">
        <v>0</v>
      </c>
      <c r="I14" s="98"/>
      <c r="J14" s="90">
        <v>0</v>
      </c>
      <c r="K14" s="133">
        <v>0</v>
      </c>
      <c r="L14" s="178"/>
      <c r="M14" s="194"/>
      <c r="N14" s="232"/>
      <c r="O14" s="242"/>
      <c r="P14" s="249">
        <f t="shared" si="0"/>
        <v>0</v>
      </c>
      <c r="Q14" s="291"/>
      <c r="R14" s="311"/>
      <c r="S14" s="312"/>
      <c r="T14" s="313"/>
      <c r="U14" s="311"/>
      <c r="V14" s="312"/>
      <c r="W14" s="313"/>
      <c r="X14" s="311"/>
      <c r="Y14" s="312"/>
      <c r="Z14" s="313"/>
      <c r="AA14" s="311">
        <f t="shared" si="1"/>
        <v>0</v>
      </c>
      <c r="AB14" s="312">
        <f t="shared" si="2"/>
        <v>0</v>
      </c>
      <c r="AC14" s="313">
        <f t="shared" si="3"/>
        <v>0</v>
      </c>
      <c r="AD14" s="311">
        <f t="shared" si="4"/>
        <v>0</v>
      </c>
      <c r="AE14" s="312">
        <f t="shared" si="5"/>
        <v>0</v>
      </c>
      <c r="AF14" s="314">
        <f t="shared" si="6"/>
        <v>0</v>
      </c>
      <c r="AG14" s="322"/>
      <c r="AH14" s="300"/>
      <c r="AI14" s="171"/>
    </row>
    <row r="15" spans="1:35" s="1" customFormat="1" ht="19.5" customHeight="1">
      <c r="A15" s="718"/>
      <c r="B15" s="7" t="s">
        <v>28</v>
      </c>
      <c r="C15" s="81">
        <f>63250+4610+3420</f>
        <v>71280</v>
      </c>
      <c r="D15" s="53"/>
      <c r="E15" s="104">
        <v>66900</v>
      </c>
      <c r="F15" s="105">
        <v>0</v>
      </c>
      <c r="G15" s="146">
        <v>0</v>
      </c>
      <c r="H15" s="137"/>
      <c r="I15" s="98">
        <v>4380</v>
      </c>
      <c r="J15" s="90"/>
      <c r="K15" s="133">
        <v>5575</v>
      </c>
      <c r="L15" s="178"/>
      <c r="M15" s="171"/>
      <c r="N15" s="229">
        <v>17690</v>
      </c>
      <c r="O15" s="240">
        <v>53050</v>
      </c>
      <c r="P15" s="247">
        <f t="shared" si="0"/>
        <v>70740</v>
      </c>
      <c r="Q15" s="291"/>
      <c r="R15" s="311"/>
      <c r="S15" s="312"/>
      <c r="T15" s="313"/>
      <c r="U15" s="311"/>
      <c r="V15" s="312"/>
      <c r="W15" s="313"/>
      <c r="X15" s="311"/>
      <c r="Y15" s="312"/>
      <c r="Z15" s="313"/>
      <c r="AA15" s="311">
        <f t="shared" si="1"/>
        <v>0</v>
      </c>
      <c r="AB15" s="312">
        <f t="shared" si="2"/>
        <v>0</v>
      </c>
      <c r="AC15" s="313">
        <f t="shared" si="3"/>
        <v>0</v>
      </c>
      <c r="AD15" s="311">
        <f t="shared" si="4"/>
        <v>0</v>
      </c>
      <c r="AE15" s="312">
        <f t="shared" si="5"/>
        <v>0</v>
      </c>
      <c r="AF15" s="314">
        <f t="shared" si="6"/>
        <v>0</v>
      </c>
      <c r="AG15" s="322"/>
      <c r="AH15" s="300"/>
      <c r="AI15" s="171"/>
    </row>
    <row r="16" spans="1:35" s="1" customFormat="1" ht="20.25" customHeight="1" thickBot="1">
      <c r="A16" s="718"/>
      <c r="B16" s="22" t="s">
        <v>29</v>
      </c>
      <c r="C16" s="83">
        <f>1134890+13860+27700+20000</f>
        <v>1196450</v>
      </c>
      <c r="D16" s="54"/>
      <c r="E16" s="104">
        <v>1180421.67</v>
      </c>
      <c r="F16" s="105">
        <v>0</v>
      </c>
      <c r="G16" s="146">
        <v>0</v>
      </c>
      <c r="H16" s="137"/>
      <c r="I16" s="98">
        <v>16028.330000000075</v>
      </c>
      <c r="J16" s="90"/>
      <c r="K16" s="133">
        <v>98368.47249999999</v>
      </c>
      <c r="L16" s="179"/>
      <c r="M16" s="171"/>
      <c r="N16" s="233">
        <v>299120</v>
      </c>
      <c r="O16" s="243">
        <v>897350</v>
      </c>
      <c r="P16" s="250">
        <f t="shared" si="0"/>
        <v>1196470</v>
      </c>
      <c r="Q16" s="291"/>
      <c r="R16" s="311"/>
      <c r="S16" s="312"/>
      <c r="T16" s="313"/>
      <c r="U16" s="311"/>
      <c r="V16" s="312"/>
      <c r="W16" s="313"/>
      <c r="X16" s="311"/>
      <c r="Y16" s="312"/>
      <c r="Z16" s="313"/>
      <c r="AA16" s="311">
        <f t="shared" si="1"/>
        <v>0</v>
      </c>
      <c r="AB16" s="312">
        <f t="shared" si="2"/>
        <v>0</v>
      </c>
      <c r="AC16" s="313">
        <f t="shared" si="3"/>
        <v>0</v>
      </c>
      <c r="AD16" s="311">
        <f t="shared" si="4"/>
        <v>0</v>
      </c>
      <c r="AE16" s="312">
        <f t="shared" si="5"/>
        <v>0</v>
      </c>
      <c r="AF16" s="314">
        <f t="shared" si="6"/>
        <v>0</v>
      </c>
      <c r="AG16" s="322"/>
      <c r="AH16" s="300"/>
      <c r="AI16" s="171"/>
    </row>
    <row r="17" spans="1:35" s="1" customFormat="1" ht="20.25" customHeight="1" thickBot="1">
      <c r="A17" s="3" t="s">
        <v>8</v>
      </c>
      <c r="B17" s="5" t="s">
        <v>11</v>
      </c>
      <c r="C17" s="84">
        <f>C15+C16</f>
        <v>1267730</v>
      </c>
      <c r="D17" s="33"/>
      <c r="E17" s="70">
        <v>1247321.67</v>
      </c>
      <c r="F17" s="70">
        <v>0</v>
      </c>
      <c r="G17" s="148">
        <v>0</v>
      </c>
      <c r="H17" s="62">
        <v>0</v>
      </c>
      <c r="I17" s="65">
        <v>20408.330000000075</v>
      </c>
      <c r="J17" s="70">
        <v>0</v>
      </c>
      <c r="K17" s="133">
        <v>103943.47249999999</v>
      </c>
      <c r="L17" s="180"/>
      <c r="M17" s="171"/>
      <c r="N17" s="231">
        <f>N15+N16</f>
        <v>316810</v>
      </c>
      <c r="O17" s="231">
        <f>O15+O16</f>
        <v>950400</v>
      </c>
      <c r="P17" s="222">
        <f>P15+P16</f>
        <v>1267210</v>
      </c>
      <c r="Q17" s="291"/>
      <c r="R17" s="311"/>
      <c r="S17" s="312"/>
      <c r="T17" s="313"/>
      <c r="U17" s="311"/>
      <c r="V17" s="312"/>
      <c r="W17" s="313"/>
      <c r="X17" s="311"/>
      <c r="Y17" s="312"/>
      <c r="Z17" s="313"/>
      <c r="AA17" s="311">
        <f t="shared" si="1"/>
        <v>0</v>
      </c>
      <c r="AB17" s="312">
        <f t="shared" si="2"/>
        <v>0</v>
      </c>
      <c r="AC17" s="313">
        <f t="shared" si="3"/>
        <v>0</v>
      </c>
      <c r="AD17" s="311">
        <f t="shared" si="4"/>
        <v>0</v>
      </c>
      <c r="AE17" s="312">
        <f t="shared" si="5"/>
        <v>0</v>
      </c>
      <c r="AF17" s="314">
        <f t="shared" si="6"/>
        <v>0</v>
      </c>
      <c r="AG17" s="322"/>
      <c r="AH17" s="300"/>
      <c r="AI17" s="171"/>
    </row>
    <row r="18" spans="1:35" s="1" customFormat="1" ht="13.5" customHeight="1" thickBot="1">
      <c r="A18" s="723" t="s">
        <v>10</v>
      </c>
      <c r="B18" s="724"/>
      <c r="C18" s="84">
        <f>C13+C14+C17</f>
        <v>15920520</v>
      </c>
      <c r="D18" s="55"/>
      <c r="E18" s="71">
        <v>15976571.2</v>
      </c>
      <c r="F18" s="71">
        <v>23242.04</v>
      </c>
      <c r="G18" s="149">
        <v>26251.96</v>
      </c>
      <c r="H18" s="63">
        <v>257.9599999999991</v>
      </c>
      <c r="I18" s="66">
        <v>-45193.1799999997</v>
      </c>
      <c r="J18" s="71">
        <v>9127.929999999993</v>
      </c>
      <c r="K18" s="133">
        <v>1331380.9333333333</v>
      </c>
      <c r="L18" s="181">
        <v>88070</v>
      </c>
      <c r="M18" s="171"/>
      <c r="N18" s="232"/>
      <c r="O18" s="242"/>
      <c r="P18" s="249">
        <f t="shared" si="0"/>
        <v>0</v>
      </c>
      <c r="Q18" s="291"/>
      <c r="R18" s="311"/>
      <c r="S18" s="312"/>
      <c r="T18" s="313"/>
      <c r="U18" s="311"/>
      <c r="V18" s="312"/>
      <c r="W18" s="313"/>
      <c r="X18" s="311"/>
      <c r="Y18" s="312"/>
      <c r="Z18" s="313"/>
      <c r="AA18" s="311">
        <f t="shared" si="1"/>
        <v>0</v>
      </c>
      <c r="AB18" s="312">
        <f t="shared" si="2"/>
        <v>0</v>
      </c>
      <c r="AC18" s="313">
        <f t="shared" si="3"/>
        <v>0</v>
      </c>
      <c r="AD18" s="311">
        <f t="shared" si="4"/>
        <v>0</v>
      </c>
      <c r="AE18" s="312">
        <f t="shared" si="5"/>
        <v>0</v>
      </c>
      <c r="AF18" s="314">
        <f t="shared" si="6"/>
        <v>0</v>
      </c>
      <c r="AG18" s="322"/>
      <c r="AH18" s="300"/>
      <c r="AI18" s="171"/>
    </row>
    <row r="19" spans="1:35" s="1" customFormat="1" ht="18" customHeight="1">
      <c r="A19" s="716" t="s">
        <v>35</v>
      </c>
      <c r="B19" s="7" t="s">
        <v>12</v>
      </c>
      <c r="C19" s="81">
        <f>624390-400000-100000</f>
        <v>124390</v>
      </c>
      <c r="D19" s="51">
        <v>32495.08</v>
      </c>
      <c r="E19" s="104">
        <v>78310.42</v>
      </c>
      <c r="F19" s="105">
        <v>124153.7</v>
      </c>
      <c r="G19" s="146">
        <v>94484.25</v>
      </c>
      <c r="H19" s="137">
        <v>236.3000000000029</v>
      </c>
      <c r="I19" s="98"/>
      <c r="J19" s="90">
        <v>78338.36</v>
      </c>
      <c r="K19" s="133">
        <v>6525.868333333333</v>
      </c>
      <c r="L19" s="176"/>
      <c r="M19" s="171"/>
      <c r="N19" s="229">
        <v>24970</v>
      </c>
      <c r="O19" s="240">
        <v>74910</v>
      </c>
      <c r="P19" s="247">
        <f t="shared" si="0"/>
        <v>99880</v>
      </c>
      <c r="Q19" s="291"/>
      <c r="R19" s="311"/>
      <c r="S19" s="312"/>
      <c r="T19" s="313">
        <v>26286.93</v>
      </c>
      <c r="U19" s="311"/>
      <c r="V19" s="312"/>
      <c r="W19" s="313">
        <v>3364.05</v>
      </c>
      <c r="X19" s="311"/>
      <c r="Y19" s="312"/>
      <c r="Z19" s="313"/>
      <c r="AA19" s="311">
        <f t="shared" si="1"/>
        <v>0</v>
      </c>
      <c r="AB19" s="312">
        <f t="shared" si="2"/>
        <v>0</v>
      </c>
      <c r="AC19" s="313">
        <f t="shared" si="3"/>
        <v>29650.98</v>
      </c>
      <c r="AD19" s="311">
        <f t="shared" si="4"/>
        <v>0</v>
      </c>
      <c r="AE19" s="312">
        <f t="shared" si="5"/>
        <v>0</v>
      </c>
      <c r="AF19" s="314">
        <f t="shared" si="6"/>
        <v>29650.98</v>
      </c>
      <c r="AG19" s="322"/>
      <c r="AH19" s="300"/>
      <c r="AI19" s="171"/>
    </row>
    <row r="20" spans="1:35" s="1" customFormat="1" ht="18" customHeight="1" thickBot="1">
      <c r="A20" s="717"/>
      <c r="B20" s="22" t="s">
        <v>13</v>
      </c>
      <c r="C20" s="83">
        <f>70220+5760+8500</f>
        <v>84480</v>
      </c>
      <c r="D20" s="50">
        <v>27041.07</v>
      </c>
      <c r="E20" s="104">
        <v>97144.14</v>
      </c>
      <c r="F20" s="105">
        <v>82975.35</v>
      </c>
      <c r="G20" s="146">
        <v>77777.28</v>
      </c>
      <c r="H20" s="137">
        <v>1504.6500000000087</v>
      </c>
      <c r="I20" s="98"/>
      <c r="J20" s="90">
        <v>12872.28</v>
      </c>
      <c r="K20" s="133">
        <v>8095.345</v>
      </c>
      <c r="L20" s="182"/>
      <c r="M20" s="193"/>
      <c r="N20" s="233">
        <v>22630</v>
      </c>
      <c r="O20" s="243">
        <v>67890</v>
      </c>
      <c r="P20" s="250">
        <f t="shared" si="0"/>
        <v>90520</v>
      </c>
      <c r="Q20" s="291"/>
      <c r="R20" s="311"/>
      <c r="S20" s="312"/>
      <c r="T20" s="313"/>
      <c r="U20" s="311"/>
      <c r="V20" s="312"/>
      <c r="W20" s="313">
        <v>20743.84</v>
      </c>
      <c r="X20" s="311"/>
      <c r="Y20" s="312"/>
      <c r="Z20" s="313"/>
      <c r="AA20" s="311">
        <f t="shared" si="1"/>
        <v>0</v>
      </c>
      <c r="AB20" s="312">
        <f t="shared" si="2"/>
        <v>0</v>
      </c>
      <c r="AC20" s="313">
        <f t="shared" si="3"/>
        <v>20743.84</v>
      </c>
      <c r="AD20" s="311">
        <f t="shared" si="4"/>
        <v>0</v>
      </c>
      <c r="AE20" s="312">
        <f t="shared" si="5"/>
        <v>0</v>
      </c>
      <c r="AF20" s="314">
        <f t="shared" si="6"/>
        <v>20743.84</v>
      </c>
      <c r="AG20" s="322"/>
      <c r="AH20" s="300"/>
      <c r="AI20" s="171"/>
    </row>
    <row r="21" spans="1:35" s="1" customFormat="1" ht="19.5" customHeight="1" thickBot="1">
      <c r="A21" s="723" t="s">
        <v>14</v>
      </c>
      <c r="B21" s="724"/>
      <c r="C21" s="84">
        <f>C19+C20</f>
        <v>208870</v>
      </c>
      <c r="D21" s="33">
        <f>D19+D20</f>
        <v>59536.15</v>
      </c>
      <c r="E21" s="70">
        <v>175454.56</v>
      </c>
      <c r="F21" s="70">
        <v>207129.05</v>
      </c>
      <c r="G21" s="148">
        <v>172261.53</v>
      </c>
      <c r="H21" s="62">
        <v>1740.9500000000116</v>
      </c>
      <c r="I21" s="65">
        <v>0</v>
      </c>
      <c r="J21" s="70">
        <v>91210.64</v>
      </c>
      <c r="K21" s="133">
        <v>14621.213333333333</v>
      </c>
      <c r="L21" s="180"/>
      <c r="M21" s="197">
        <v>-1740.9500000000116</v>
      </c>
      <c r="N21" s="231">
        <f>N19+N20</f>
        <v>47600</v>
      </c>
      <c r="O21" s="231">
        <f>O19+O20</f>
        <v>142800</v>
      </c>
      <c r="P21" s="222">
        <f>P19+P20</f>
        <v>190400</v>
      </c>
      <c r="Q21" s="291"/>
      <c r="R21" s="311"/>
      <c r="S21" s="312"/>
      <c r="T21" s="313"/>
      <c r="U21" s="311"/>
      <c r="V21" s="312"/>
      <c r="W21" s="313"/>
      <c r="X21" s="311"/>
      <c r="Y21" s="312"/>
      <c r="Z21" s="313"/>
      <c r="AA21" s="311">
        <f t="shared" si="1"/>
        <v>0</v>
      </c>
      <c r="AB21" s="312">
        <f t="shared" si="2"/>
        <v>0</v>
      </c>
      <c r="AC21" s="313">
        <f t="shared" si="3"/>
        <v>0</v>
      </c>
      <c r="AD21" s="311">
        <f t="shared" si="4"/>
        <v>0</v>
      </c>
      <c r="AE21" s="312">
        <f t="shared" si="5"/>
        <v>0</v>
      </c>
      <c r="AF21" s="314">
        <f t="shared" si="6"/>
        <v>0</v>
      </c>
      <c r="AG21" s="322"/>
      <c r="AH21" s="300"/>
      <c r="AI21" s="171"/>
    </row>
    <row r="22" spans="1:35" s="1" customFormat="1" ht="18" customHeight="1">
      <c r="A22" s="716" t="s">
        <v>34</v>
      </c>
      <c r="B22" s="7" t="s">
        <v>0</v>
      </c>
      <c r="C22" s="81">
        <f>6930+19960-1800+320+3550+1650</f>
        <v>30610</v>
      </c>
      <c r="D22" s="51"/>
      <c r="E22" s="104">
        <v>28400.14</v>
      </c>
      <c r="F22" s="105">
        <v>0</v>
      </c>
      <c r="G22" s="146">
        <v>0</v>
      </c>
      <c r="H22" s="137"/>
      <c r="I22" s="98">
        <v>2209.86</v>
      </c>
      <c r="J22" s="90"/>
      <c r="K22" s="133">
        <v>2366.6783333333333</v>
      </c>
      <c r="L22" s="176"/>
      <c r="M22" s="39">
        <v>-2209.86</v>
      </c>
      <c r="N22" s="232">
        <v>7520</v>
      </c>
      <c r="O22" s="242">
        <v>16550</v>
      </c>
      <c r="P22" s="249">
        <f t="shared" si="0"/>
        <v>24070</v>
      </c>
      <c r="Q22" s="291"/>
      <c r="R22" s="311"/>
      <c r="S22" s="312"/>
      <c r="T22" s="313"/>
      <c r="U22" s="311"/>
      <c r="V22" s="312"/>
      <c r="W22" s="313"/>
      <c r="X22" s="311"/>
      <c r="Y22" s="312"/>
      <c r="Z22" s="313"/>
      <c r="AA22" s="311">
        <f t="shared" si="1"/>
        <v>0</v>
      </c>
      <c r="AB22" s="312">
        <f t="shared" si="2"/>
        <v>0</v>
      </c>
      <c r="AC22" s="313">
        <f t="shared" si="3"/>
        <v>0</v>
      </c>
      <c r="AD22" s="311">
        <f t="shared" si="4"/>
        <v>0</v>
      </c>
      <c r="AE22" s="312">
        <f t="shared" si="5"/>
        <v>0</v>
      </c>
      <c r="AF22" s="314">
        <f t="shared" si="6"/>
        <v>0</v>
      </c>
      <c r="AG22" s="322"/>
      <c r="AH22" s="300"/>
      <c r="AI22" s="171"/>
    </row>
    <row r="23" spans="1:35" s="1" customFormat="1" ht="19.5" customHeight="1" thickBot="1">
      <c r="A23" s="718"/>
      <c r="B23" s="24" t="s">
        <v>30</v>
      </c>
      <c r="C23" s="83">
        <f>943490+35400+72000+1000</f>
        <v>1051890</v>
      </c>
      <c r="D23" s="52">
        <v>238686.46</v>
      </c>
      <c r="E23" s="104">
        <v>1193432.27</v>
      </c>
      <c r="F23" s="105">
        <v>1050220.4</v>
      </c>
      <c r="G23" s="146">
        <v>1193446.16</v>
      </c>
      <c r="H23" s="137">
        <v>1669.6000000000931</v>
      </c>
      <c r="I23" s="98"/>
      <c r="J23" s="90">
        <v>95474.58999999985</v>
      </c>
      <c r="K23" s="133">
        <v>99452.68916666666</v>
      </c>
      <c r="L23" s="177"/>
      <c r="M23" s="38">
        <v>-1669.6000000000931</v>
      </c>
      <c r="N23" s="229">
        <v>278280</v>
      </c>
      <c r="O23" s="240">
        <v>612210</v>
      </c>
      <c r="P23" s="247">
        <f t="shared" si="0"/>
        <v>890490</v>
      </c>
      <c r="Q23" s="291"/>
      <c r="R23" s="311"/>
      <c r="S23" s="312"/>
      <c r="T23" s="313">
        <v>190939.69</v>
      </c>
      <c r="U23" s="311"/>
      <c r="V23" s="312"/>
      <c r="W23" s="313">
        <v>9.47</v>
      </c>
      <c r="X23" s="311"/>
      <c r="Y23" s="312"/>
      <c r="Z23" s="313"/>
      <c r="AA23" s="311">
        <f t="shared" si="1"/>
        <v>0</v>
      </c>
      <c r="AB23" s="312">
        <f t="shared" si="2"/>
        <v>0</v>
      </c>
      <c r="AC23" s="313">
        <f t="shared" si="3"/>
        <v>190949.16</v>
      </c>
      <c r="AD23" s="311">
        <f t="shared" si="4"/>
        <v>0</v>
      </c>
      <c r="AE23" s="312">
        <f t="shared" si="5"/>
        <v>0</v>
      </c>
      <c r="AF23" s="314">
        <f t="shared" si="6"/>
        <v>190949.16</v>
      </c>
      <c r="AG23" s="322"/>
      <c r="AH23" s="300"/>
      <c r="AI23" s="171"/>
    </row>
    <row r="24" spans="1:35" s="1" customFormat="1" ht="15.75" customHeight="1" thickBot="1">
      <c r="A24" s="718"/>
      <c r="B24" s="25" t="s">
        <v>31</v>
      </c>
      <c r="C24" s="82">
        <f>56500+19760+6400-2400</f>
        <v>80260</v>
      </c>
      <c r="D24" s="49"/>
      <c r="E24" s="104">
        <v>94285.38</v>
      </c>
      <c r="F24" s="105">
        <v>0</v>
      </c>
      <c r="G24" s="146">
        <v>0</v>
      </c>
      <c r="H24" s="137"/>
      <c r="I24" s="191">
        <v>-14025.38</v>
      </c>
      <c r="J24" s="90"/>
      <c r="K24" s="133">
        <v>7857.114999999999</v>
      </c>
      <c r="L24" s="173"/>
      <c r="M24" s="196">
        <v>14025.38</v>
      </c>
      <c r="N24" s="229">
        <v>20900</v>
      </c>
      <c r="O24" s="240">
        <v>45980</v>
      </c>
      <c r="P24" s="247">
        <f t="shared" si="0"/>
        <v>66880</v>
      </c>
      <c r="Q24" s="291">
        <v>14025.38</v>
      </c>
      <c r="R24" s="311"/>
      <c r="S24" s="312"/>
      <c r="T24" s="313"/>
      <c r="U24" s="311"/>
      <c r="V24" s="312"/>
      <c r="W24" s="313"/>
      <c r="X24" s="311"/>
      <c r="Y24" s="312"/>
      <c r="Z24" s="313"/>
      <c r="AA24" s="311">
        <f t="shared" si="1"/>
        <v>0</v>
      </c>
      <c r="AB24" s="312">
        <f t="shared" si="2"/>
        <v>0</v>
      </c>
      <c r="AC24" s="313">
        <f t="shared" si="3"/>
        <v>0</v>
      </c>
      <c r="AD24" s="311">
        <f t="shared" si="4"/>
        <v>0</v>
      </c>
      <c r="AE24" s="312">
        <f t="shared" si="5"/>
        <v>0</v>
      </c>
      <c r="AF24" s="314">
        <f t="shared" si="6"/>
        <v>0</v>
      </c>
      <c r="AG24" s="322"/>
      <c r="AH24" s="300"/>
      <c r="AI24" s="171"/>
    </row>
    <row r="25" spans="1:35" s="1" customFormat="1" ht="15.75" customHeight="1">
      <c r="A25" s="718"/>
      <c r="B25" s="25" t="s">
        <v>55</v>
      </c>
      <c r="C25" s="82">
        <f>199230+392040+580000-13400</f>
        <v>1157870</v>
      </c>
      <c r="D25" s="49"/>
      <c r="E25" s="104">
        <v>1157822.64</v>
      </c>
      <c r="F25" s="105"/>
      <c r="G25" s="146"/>
      <c r="H25" s="137"/>
      <c r="I25" s="98">
        <v>47.359999999869615</v>
      </c>
      <c r="J25" s="90"/>
      <c r="K25" s="133">
        <v>96485.22</v>
      </c>
      <c r="L25" s="173"/>
      <c r="M25" s="31">
        <v>-47.359999999869615</v>
      </c>
      <c r="N25" s="229">
        <v>591270</v>
      </c>
      <c r="O25" s="240">
        <v>1285370</v>
      </c>
      <c r="P25" s="247">
        <f t="shared" si="0"/>
        <v>1876640</v>
      </c>
      <c r="Q25" s="291"/>
      <c r="R25" s="311"/>
      <c r="S25" s="312"/>
      <c r="T25" s="313"/>
      <c r="U25" s="311"/>
      <c r="V25" s="312"/>
      <c r="W25" s="313"/>
      <c r="X25" s="311"/>
      <c r="Y25" s="312"/>
      <c r="Z25" s="313"/>
      <c r="AA25" s="311">
        <f t="shared" si="1"/>
        <v>0</v>
      </c>
      <c r="AB25" s="312">
        <f t="shared" si="2"/>
        <v>0</v>
      </c>
      <c r="AC25" s="313">
        <f t="shared" si="3"/>
        <v>0</v>
      </c>
      <c r="AD25" s="311">
        <f t="shared" si="4"/>
        <v>0</v>
      </c>
      <c r="AE25" s="312">
        <f t="shared" si="5"/>
        <v>0</v>
      </c>
      <c r="AF25" s="314">
        <f t="shared" si="6"/>
        <v>0</v>
      </c>
      <c r="AG25" s="322"/>
      <c r="AH25" s="300"/>
      <c r="AI25" s="171"/>
    </row>
    <row r="26" spans="1:35" s="1" customFormat="1" ht="15.75" customHeight="1" thickBot="1">
      <c r="A26" s="718"/>
      <c r="B26" s="25" t="s">
        <v>41</v>
      </c>
      <c r="C26" s="82">
        <f>1510+22950+2420-9260+5030</f>
        <v>22650</v>
      </c>
      <c r="D26" s="49"/>
      <c r="E26" s="104">
        <v>22644.9</v>
      </c>
      <c r="F26" s="105">
        <v>0</v>
      </c>
      <c r="G26" s="146">
        <v>0</v>
      </c>
      <c r="H26" s="137"/>
      <c r="I26" s="201">
        <v>5.100000000002183</v>
      </c>
      <c r="J26" s="90"/>
      <c r="K26" s="133">
        <v>1887.075</v>
      </c>
      <c r="L26" s="173"/>
      <c r="M26" s="199">
        <v>-5.100000000002183</v>
      </c>
      <c r="N26" s="229">
        <v>4840</v>
      </c>
      <c r="O26" s="240">
        <v>10660</v>
      </c>
      <c r="P26" s="247">
        <f t="shared" si="0"/>
        <v>15500</v>
      </c>
      <c r="Q26" s="291"/>
      <c r="R26" s="311"/>
      <c r="S26" s="312"/>
      <c r="T26" s="313"/>
      <c r="U26" s="311"/>
      <c r="V26" s="312"/>
      <c r="W26" s="313"/>
      <c r="X26" s="311"/>
      <c r="Y26" s="312"/>
      <c r="Z26" s="313"/>
      <c r="AA26" s="311">
        <f t="shared" si="1"/>
        <v>0</v>
      </c>
      <c r="AB26" s="312">
        <f t="shared" si="2"/>
        <v>0</v>
      </c>
      <c r="AC26" s="313">
        <f t="shared" si="3"/>
        <v>0</v>
      </c>
      <c r="AD26" s="311">
        <f t="shared" si="4"/>
        <v>0</v>
      </c>
      <c r="AE26" s="312">
        <f t="shared" si="5"/>
        <v>0</v>
      </c>
      <c r="AF26" s="314">
        <f t="shared" si="6"/>
        <v>0</v>
      </c>
      <c r="AG26" s="322"/>
      <c r="AH26" s="300"/>
      <c r="AI26" s="171"/>
    </row>
    <row r="27" spans="1:35" s="1" customFormat="1" ht="21.75" customHeight="1" thickBot="1">
      <c r="A27" s="717"/>
      <c r="B27" s="24" t="s">
        <v>15</v>
      </c>
      <c r="C27" s="83">
        <f>286810+34430+25500+28650-4150-5030</f>
        <v>366210</v>
      </c>
      <c r="D27" s="50"/>
      <c r="E27" s="104">
        <v>376227.37</v>
      </c>
      <c r="F27" s="105">
        <v>0</v>
      </c>
      <c r="G27" s="146">
        <v>0</v>
      </c>
      <c r="H27" s="137"/>
      <c r="I27" s="191">
        <v>-10017.37</v>
      </c>
      <c r="J27" s="90"/>
      <c r="K27" s="133">
        <v>31352.280833333334</v>
      </c>
      <c r="L27" s="182"/>
      <c r="M27" s="195">
        <v>10017.37</v>
      </c>
      <c r="N27" s="233">
        <v>93110</v>
      </c>
      <c r="O27" s="243">
        <v>204830</v>
      </c>
      <c r="P27" s="250">
        <f t="shared" si="0"/>
        <v>297940</v>
      </c>
      <c r="Q27" s="291">
        <v>10017.37</v>
      </c>
      <c r="R27" s="311"/>
      <c r="S27" s="312"/>
      <c r="T27" s="313"/>
      <c r="U27" s="311"/>
      <c r="V27" s="312"/>
      <c r="W27" s="313"/>
      <c r="X27" s="311"/>
      <c r="Y27" s="312"/>
      <c r="Z27" s="313"/>
      <c r="AA27" s="311">
        <f t="shared" si="1"/>
        <v>0</v>
      </c>
      <c r="AB27" s="312">
        <f t="shared" si="2"/>
        <v>0</v>
      </c>
      <c r="AC27" s="313">
        <f t="shared" si="3"/>
        <v>0</v>
      </c>
      <c r="AD27" s="311">
        <f t="shared" si="4"/>
        <v>0</v>
      </c>
      <c r="AE27" s="312">
        <f t="shared" si="5"/>
        <v>0</v>
      </c>
      <c r="AF27" s="314">
        <f t="shared" si="6"/>
        <v>0</v>
      </c>
      <c r="AG27" s="322"/>
      <c r="AH27" s="300"/>
      <c r="AI27" s="171"/>
    </row>
    <row r="28" spans="1:35" s="1" customFormat="1" ht="19.5" customHeight="1" thickBot="1">
      <c r="A28" s="723" t="s">
        <v>16</v>
      </c>
      <c r="B28" s="724"/>
      <c r="C28" s="84">
        <f>SUM(C22:C27)</f>
        <v>2709490</v>
      </c>
      <c r="D28" s="4">
        <f>SUM(D22:D27)</f>
        <v>238686.46</v>
      </c>
      <c r="E28" s="72">
        <v>2872812.7</v>
      </c>
      <c r="F28" s="72">
        <v>1050220.4</v>
      </c>
      <c r="G28" s="150">
        <v>1193446.16</v>
      </c>
      <c r="H28" s="64">
        <v>1669.6000000000931</v>
      </c>
      <c r="I28" s="8">
        <v>-21780.430000000113</v>
      </c>
      <c r="J28" s="72">
        <v>95474.58999999985</v>
      </c>
      <c r="K28" s="133">
        <v>239401.05833333332</v>
      </c>
      <c r="L28" s="180"/>
      <c r="M28" s="198">
        <v>20110.83</v>
      </c>
      <c r="N28" s="231">
        <f>N22+N23+N24+N25+N26+N27</f>
        <v>995920</v>
      </c>
      <c r="O28" s="231">
        <f>O22+O23+O24+O25+O26+O27</f>
        <v>2175600</v>
      </c>
      <c r="P28" s="222">
        <f>P22+P23+P24+P25+P26+P27</f>
        <v>3171520</v>
      </c>
      <c r="Q28" s="292">
        <f>Q24+Q27</f>
        <v>24042.75</v>
      </c>
      <c r="R28" s="311"/>
      <c r="S28" s="312"/>
      <c r="T28" s="313"/>
      <c r="U28" s="311"/>
      <c r="V28" s="312"/>
      <c r="W28" s="313"/>
      <c r="X28" s="311"/>
      <c r="Y28" s="312"/>
      <c r="Z28" s="313"/>
      <c r="AA28" s="311">
        <f t="shared" si="1"/>
        <v>0</v>
      </c>
      <c r="AB28" s="312">
        <f t="shared" si="2"/>
        <v>0</v>
      </c>
      <c r="AC28" s="313">
        <f t="shared" si="3"/>
        <v>0</v>
      </c>
      <c r="AD28" s="311">
        <f t="shared" si="4"/>
        <v>0</v>
      </c>
      <c r="AE28" s="312">
        <f t="shared" si="5"/>
        <v>0</v>
      </c>
      <c r="AF28" s="314">
        <f t="shared" si="6"/>
        <v>0</v>
      </c>
      <c r="AG28" s="322"/>
      <c r="AH28" s="300"/>
      <c r="AI28" s="171"/>
    </row>
    <row r="29" spans="1:35" s="1" customFormat="1" ht="17.25" customHeight="1">
      <c r="A29" s="716" t="s">
        <v>17</v>
      </c>
      <c r="B29" s="7" t="s">
        <v>24</v>
      </c>
      <c r="C29" s="81">
        <v>0</v>
      </c>
      <c r="D29" s="51"/>
      <c r="E29" s="104">
        <v>0</v>
      </c>
      <c r="F29" s="105">
        <v>0</v>
      </c>
      <c r="G29" s="146">
        <v>8403.31</v>
      </c>
      <c r="H29" s="137"/>
      <c r="I29" s="98">
        <v>0</v>
      </c>
      <c r="J29" s="90"/>
      <c r="K29" s="133">
        <v>0</v>
      </c>
      <c r="L29" s="176"/>
      <c r="M29" s="171"/>
      <c r="N29" s="232"/>
      <c r="O29" s="242"/>
      <c r="P29" s="249">
        <f t="shared" si="0"/>
        <v>0</v>
      </c>
      <c r="Q29" s="291"/>
      <c r="R29" s="311"/>
      <c r="S29" s="312"/>
      <c r="T29" s="313"/>
      <c r="U29" s="311"/>
      <c r="V29" s="312"/>
      <c r="W29" s="313"/>
      <c r="X29" s="311"/>
      <c r="Y29" s="312"/>
      <c r="Z29" s="313"/>
      <c r="AA29" s="311">
        <f t="shared" si="1"/>
        <v>0</v>
      </c>
      <c r="AB29" s="312">
        <f t="shared" si="2"/>
        <v>0</v>
      </c>
      <c r="AC29" s="313">
        <f t="shared" si="3"/>
        <v>0</v>
      </c>
      <c r="AD29" s="311">
        <f t="shared" si="4"/>
        <v>0</v>
      </c>
      <c r="AE29" s="312">
        <f t="shared" si="5"/>
        <v>0</v>
      </c>
      <c r="AF29" s="314">
        <f t="shared" si="6"/>
        <v>0</v>
      </c>
      <c r="AG29" s="322"/>
      <c r="AH29" s="300"/>
      <c r="AI29" s="171"/>
    </row>
    <row r="30" spans="1:35" s="1" customFormat="1" ht="17.25" customHeight="1">
      <c r="A30" s="718"/>
      <c r="B30" s="7" t="s">
        <v>23</v>
      </c>
      <c r="C30" s="81">
        <f>87350+6000</f>
        <v>93350</v>
      </c>
      <c r="D30" s="51">
        <v>10949.92</v>
      </c>
      <c r="E30" s="104">
        <v>86017.53</v>
      </c>
      <c r="F30" s="105">
        <v>93305.1</v>
      </c>
      <c r="G30" s="146">
        <v>73094.1</v>
      </c>
      <c r="H30" s="137">
        <v>44.89999999999418</v>
      </c>
      <c r="I30" s="98"/>
      <c r="J30" s="90">
        <v>18237.49</v>
      </c>
      <c r="K30" s="133">
        <v>7168.1275</v>
      </c>
      <c r="L30" s="176"/>
      <c r="M30" s="32">
        <v>-44.89999999999418</v>
      </c>
      <c r="N30" s="229">
        <v>22250</v>
      </c>
      <c r="O30" s="240">
        <v>40050</v>
      </c>
      <c r="P30" s="247">
        <f t="shared" si="0"/>
        <v>62300</v>
      </c>
      <c r="Q30" s="291"/>
      <c r="R30" s="311"/>
      <c r="S30" s="312"/>
      <c r="T30" s="313">
        <v>8163.67</v>
      </c>
      <c r="U30" s="311"/>
      <c r="V30" s="312"/>
      <c r="W30" s="313">
        <v>12026.73</v>
      </c>
      <c r="X30" s="311"/>
      <c r="Y30" s="312"/>
      <c r="Z30" s="313"/>
      <c r="AA30" s="311">
        <f t="shared" si="1"/>
        <v>0</v>
      </c>
      <c r="AB30" s="312">
        <f t="shared" si="2"/>
        <v>0</v>
      </c>
      <c r="AC30" s="313">
        <f t="shared" si="3"/>
        <v>20190.4</v>
      </c>
      <c r="AD30" s="311">
        <f t="shared" si="4"/>
        <v>0</v>
      </c>
      <c r="AE30" s="312">
        <f t="shared" si="5"/>
        <v>0</v>
      </c>
      <c r="AF30" s="314">
        <f t="shared" si="6"/>
        <v>20190.4</v>
      </c>
      <c r="AG30" s="322"/>
      <c r="AH30" s="300"/>
      <c r="AI30" s="171"/>
    </row>
    <row r="31" spans="1:35" s="1" customFormat="1" ht="17.25" customHeight="1" thickBot="1">
      <c r="A31" s="718"/>
      <c r="B31" s="22" t="s">
        <v>25</v>
      </c>
      <c r="C31" s="83">
        <v>470</v>
      </c>
      <c r="D31" s="52">
        <v>171.97</v>
      </c>
      <c r="E31" s="104">
        <v>484.59</v>
      </c>
      <c r="F31" s="105">
        <v>402</v>
      </c>
      <c r="G31" s="146">
        <v>285.71</v>
      </c>
      <c r="H31" s="137">
        <v>68</v>
      </c>
      <c r="I31" s="98"/>
      <c r="J31" s="90">
        <v>89.38</v>
      </c>
      <c r="K31" s="133">
        <v>40.3825</v>
      </c>
      <c r="L31" s="177"/>
      <c r="M31" s="38">
        <v>-68</v>
      </c>
      <c r="N31" s="233">
        <v>120</v>
      </c>
      <c r="O31" s="240">
        <v>220</v>
      </c>
      <c r="P31" s="247">
        <f t="shared" si="0"/>
        <v>340</v>
      </c>
      <c r="Q31" s="291"/>
      <c r="R31" s="311"/>
      <c r="S31" s="312"/>
      <c r="T31" s="313"/>
      <c r="U31" s="311"/>
      <c r="V31" s="312"/>
      <c r="W31" s="313"/>
      <c r="X31" s="311"/>
      <c r="Y31" s="312"/>
      <c r="Z31" s="313"/>
      <c r="AA31" s="311">
        <f t="shared" si="1"/>
        <v>0</v>
      </c>
      <c r="AB31" s="312">
        <f t="shared" si="2"/>
        <v>0</v>
      </c>
      <c r="AC31" s="313">
        <f t="shared" si="3"/>
        <v>0</v>
      </c>
      <c r="AD31" s="311">
        <f t="shared" si="4"/>
        <v>0</v>
      </c>
      <c r="AE31" s="312">
        <f t="shared" si="5"/>
        <v>0</v>
      </c>
      <c r="AF31" s="314">
        <f t="shared" si="6"/>
        <v>0</v>
      </c>
      <c r="AG31" s="322"/>
      <c r="AH31" s="300"/>
      <c r="AI31" s="171"/>
    </row>
    <row r="32" spans="1:35" s="1" customFormat="1" ht="19.5" customHeight="1" thickBot="1">
      <c r="A32" s="719" t="s">
        <v>18</v>
      </c>
      <c r="B32" s="720"/>
      <c r="C32" s="84">
        <f>C29+C30+C31</f>
        <v>93820</v>
      </c>
      <c r="D32" s="56">
        <f>D30+D31</f>
        <v>11121.89</v>
      </c>
      <c r="E32" s="70">
        <v>86502.12</v>
      </c>
      <c r="F32" s="70">
        <v>93707.1</v>
      </c>
      <c r="G32" s="148">
        <v>81783.12</v>
      </c>
      <c r="H32" s="62">
        <v>112.89999999999418</v>
      </c>
      <c r="I32" s="65">
        <v>0</v>
      </c>
      <c r="J32" s="70">
        <v>18326.87</v>
      </c>
      <c r="K32" s="133">
        <v>7208.51</v>
      </c>
      <c r="L32" s="183"/>
      <c r="M32" s="197">
        <v>-112.89999999999418</v>
      </c>
      <c r="N32" s="231">
        <f>N30+N31</f>
        <v>22370</v>
      </c>
      <c r="O32" s="244">
        <f>O30+O31</f>
        <v>40270</v>
      </c>
      <c r="P32" s="251">
        <f>P30+P31</f>
        <v>62640</v>
      </c>
      <c r="Q32" s="291"/>
      <c r="R32" s="311"/>
      <c r="S32" s="312"/>
      <c r="T32" s="313"/>
      <c r="U32" s="311"/>
      <c r="V32" s="312"/>
      <c r="W32" s="313"/>
      <c r="X32" s="311"/>
      <c r="Y32" s="312"/>
      <c r="Z32" s="313"/>
      <c r="AA32" s="311">
        <f t="shared" si="1"/>
        <v>0</v>
      </c>
      <c r="AB32" s="312">
        <f t="shared" si="2"/>
        <v>0</v>
      </c>
      <c r="AC32" s="313">
        <f t="shared" si="3"/>
        <v>0</v>
      </c>
      <c r="AD32" s="311">
        <f t="shared" si="4"/>
        <v>0</v>
      </c>
      <c r="AE32" s="312">
        <f t="shared" si="5"/>
        <v>0</v>
      </c>
      <c r="AF32" s="314">
        <f t="shared" si="6"/>
        <v>0</v>
      </c>
      <c r="AG32" s="322"/>
      <c r="AH32" s="300"/>
      <c r="AI32" s="171"/>
    </row>
    <row r="33" spans="1:35" s="1" customFormat="1" ht="21.75" customHeight="1" thickBot="1">
      <c r="A33" s="719" t="s">
        <v>26</v>
      </c>
      <c r="B33" s="720"/>
      <c r="C33" s="86">
        <f>681270+42080+59980</f>
        <v>783330</v>
      </c>
      <c r="D33" s="57"/>
      <c r="E33" s="104">
        <v>760101.18</v>
      </c>
      <c r="F33" s="105">
        <v>0</v>
      </c>
      <c r="G33" s="146">
        <v>0</v>
      </c>
      <c r="H33" s="137"/>
      <c r="I33" s="98">
        <v>23228.81999999995</v>
      </c>
      <c r="J33" s="90"/>
      <c r="K33" s="133">
        <v>63341.76500000001</v>
      </c>
      <c r="L33" s="184"/>
      <c r="M33" s="197">
        <v>-23228.81999999995</v>
      </c>
      <c r="N33" s="234">
        <v>195970</v>
      </c>
      <c r="O33" s="227">
        <v>382140</v>
      </c>
      <c r="P33" s="252">
        <f t="shared" si="0"/>
        <v>578110</v>
      </c>
      <c r="Q33" s="291"/>
      <c r="R33" s="311"/>
      <c r="S33" s="312"/>
      <c r="T33" s="313"/>
      <c r="U33" s="311"/>
      <c r="V33" s="312"/>
      <c r="W33" s="313"/>
      <c r="X33" s="311"/>
      <c r="Y33" s="312"/>
      <c r="Z33" s="313"/>
      <c r="AA33" s="311">
        <f t="shared" si="1"/>
        <v>0</v>
      </c>
      <c r="AB33" s="312">
        <f t="shared" si="2"/>
        <v>0</v>
      </c>
      <c r="AC33" s="313">
        <f t="shared" si="3"/>
        <v>0</v>
      </c>
      <c r="AD33" s="311">
        <f t="shared" si="4"/>
        <v>0</v>
      </c>
      <c r="AE33" s="312">
        <f t="shared" si="5"/>
        <v>0</v>
      </c>
      <c r="AF33" s="314">
        <f t="shared" si="6"/>
        <v>0</v>
      </c>
      <c r="AG33" s="322"/>
      <c r="AH33" s="300"/>
      <c r="AI33" s="171"/>
    </row>
    <row r="34" spans="1:35" s="1" customFormat="1" ht="21" customHeight="1" thickBot="1">
      <c r="A34" s="719" t="s">
        <v>27</v>
      </c>
      <c r="B34" s="720"/>
      <c r="C34" s="86">
        <f>307880+30000</f>
        <v>337880</v>
      </c>
      <c r="D34" s="60">
        <v>67754.4</v>
      </c>
      <c r="E34" s="106">
        <v>266582.39</v>
      </c>
      <c r="F34" s="107">
        <v>337252.54</v>
      </c>
      <c r="G34" s="151">
        <v>384319.95</v>
      </c>
      <c r="H34" s="139">
        <v>627.460000000021</v>
      </c>
      <c r="I34" s="99"/>
      <c r="J34" s="91">
        <v>138424.55</v>
      </c>
      <c r="K34" s="133">
        <v>22215.19916666667</v>
      </c>
      <c r="L34" s="185"/>
      <c r="M34" s="200">
        <v>-627.460000000021</v>
      </c>
      <c r="N34" s="235">
        <v>62120</v>
      </c>
      <c r="O34" s="245">
        <v>139760</v>
      </c>
      <c r="P34" s="253">
        <f t="shared" si="0"/>
        <v>201880</v>
      </c>
      <c r="Q34" s="291"/>
      <c r="R34" s="311"/>
      <c r="S34" s="312"/>
      <c r="T34" s="313"/>
      <c r="U34" s="311"/>
      <c r="V34" s="312"/>
      <c r="W34" s="313">
        <v>88916.13</v>
      </c>
      <c r="X34" s="311"/>
      <c r="Y34" s="312"/>
      <c r="Z34" s="313"/>
      <c r="AA34" s="311">
        <f t="shared" si="1"/>
        <v>0</v>
      </c>
      <c r="AB34" s="312">
        <f t="shared" si="2"/>
        <v>0</v>
      </c>
      <c r="AC34" s="313">
        <f t="shared" si="3"/>
        <v>88916.13</v>
      </c>
      <c r="AD34" s="311">
        <f t="shared" si="4"/>
        <v>0</v>
      </c>
      <c r="AE34" s="312">
        <f t="shared" si="5"/>
        <v>0</v>
      </c>
      <c r="AF34" s="314">
        <f t="shared" si="6"/>
        <v>88916.13</v>
      </c>
      <c r="AG34" s="322"/>
      <c r="AH34" s="300"/>
      <c r="AI34" s="171"/>
    </row>
    <row r="35" spans="1:35" s="1" customFormat="1" ht="25.5" customHeight="1" thickBot="1">
      <c r="A35" s="743" t="s">
        <v>46</v>
      </c>
      <c r="B35" s="744"/>
      <c r="C35" s="86">
        <f>116064+59024+276768+4960+48112+71424+93744+28768+73408</f>
        <v>772272</v>
      </c>
      <c r="D35" s="58"/>
      <c r="E35" s="108">
        <v>727136</v>
      </c>
      <c r="F35" s="109">
        <v>0</v>
      </c>
      <c r="G35" s="152">
        <v>372996</v>
      </c>
      <c r="H35" s="140"/>
      <c r="I35" s="100">
        <v>45136</v>
      </c>
      <c r="J35" s="92"/>
      <c r="K35" s="133">
        <v>60594.666666666664</v>
      </c>
      <c r="L35" s="186"/>
      <c r="M35" s="61">
        <v>-45136</v>
      </c>
      <c r="N35" s="236">
        <v>116064</v>
      </c>
      <c r="O35" s="228">
        <v>214272</v>
      </c>
      <c r="P35" s="254">
        <f t="shared" si="0"/>
        <v>330336</v>
      </c>
      <c r="Q35" s="291"/>
      <c r="R35" s="311"/>
      <c r="S35" s="312"/>
      <c r="T35" s="313">
        <f>38688+28772</f>
        <v>67460</v>
      </c>
      <c r="U35" s="311"/>
      <c r="V35" s="312"/>
      <c r="W35" s="313">
        <v>112092</v>
      </c>
      <c r="X35" s="311"/>
      <c r="Y35" s="312"/>
      <c r="Z35" s="313"/>
      <c r="AA35" s="311">
        <f t="shared" si="1"/>
        <v>0</v>
      </c>
      <c r="AB35" s="312">
        <f t="shared" si="2"/>
        <v>0</v>
      </c>
      <c r="AC35" s="313">
        <f t="shared" si="3"/>
        <v>179552</v>
      </c>
      <c r="AD35" s="311">
        <f t="shared" si="4"/>
        <v>0</v>
      </c>
      <c r="AE35" s="312">
        <f t="shared" si="5"/>
        <v>0</v>
      </c>
      <c r="AF35" s="314">
        <f t="shared" si="6"/>
        <v>179552</v>
      </c>
      <c r="AG35" s="322"/>
      <c r="AH35" s="300"/>
      <c r="AI35" s="171"/>
    </row>
    <row r="36" spans="1:35" s="1" customFormat="1" ht="18.75" customHeight="1" thickBot="1">
      <c r="A36" s="723" t="s">
        <v>36</v>
      </c>
      <c r="B36" s="724"/>
      <c r="C36" s="86">
        <f>10740+35450-24590-4000-6780</f>
        <v>10820</v>
      </c>
      <c r="D36" s="58"/>
      <c r="E36" s="108">
        <v>7714</v>
      </c>
      <c r="F36" s="109">
        <v>0</v>
      </c>
      <c r="G36" s="152">
        <v>11565</v>
      </c>
      <c r="H36" s="140"/>
      <c r="I36" s="100">
        <v>3106</v>
      </c>
      <c r="J36" s="92"/>
      <c r="K36" s="133">
        <v>642.8333333333334</v>
      </c>
      <c r="L36" s="186">
        <v>3100</v>
      </c>
      <c r="M36" s="61">
        <v>-6</v>
      </c>
      <c r="N36" s="234">
        <v>2510</v>
      </c>
      <c r="O36" s="227">
        <v>6020</v>
      </c>
      <c r="P36" s="252">
        <f t="shared" si="0"/>
        <v>8530</v>
      </c>
      <c r="Q36" s="291"/>
      <c r="R36" s="311"/>
      <c r="S36" s="312"/>
      <c r="T36" s="313"/>
      <c r="U36" s="311"/>
      <c r="V36" s="312"/>
      <c r="W36" s="313"/>
      <c r="X36" s="311"/>
      <c r="Y36" s="312"/>
      <c r="Z36" s="313"/>
      <c r="AA36" s="311">
        <f t="shared" si="1"/>
        <v>0</v>
      </c>
      <c r="AB36" s="312">
        <f t="shared" si="2"/>
        <v>0</v>
      </c>
      <c r="AC36" s="313">
        <f t="shared" si="3"/>
        <v>0</v>
      </c>
      <c r="AD36" s="311">
        <f t="shared" si="4"/>
        <v>0</v>
      </c>
      <c r="AE36" s="312">
        <f t="shared" si="5"/>
        <v>0</v>
      </c>
      <c r="AF36" s="314">
        <f t="shared" si="6"/>
        <v>0</v>
      </c>
      <c r="AG36" s="322"/>
      <c r="AH36" s="300"/>
      <c r="AI36" s="171"/>
    </row>
    <row r="37" spans="1:35" s="1" customFormat="1" ht="19.5" customHeight="1" thickBot="1">
      <c r="A37" s="714" t="s">
        <v>37</v>
      </c>
      <c r="B37" s="738"/>
      <c r="C37" s="86">
        <f>1930+360+770-320</f>
        <v>2740</v>
      </c>
      <c r="D37" s="59"/>
      <c r="E37" s="110">
        <v>2420</v>
      </c>
      <c r="F37" s="111">
        <v>0</v>
      </c>
      <c r="G37" s="153">
        <v>2640</v>
      </c>
      <c r="H37" s="141"/>
      <c r="I37" s="101">
        <v>320</v>
      </c>
      <c r="J37" s="93"/>
      <c r="K37" s="133">
        <v>201.66666666666666</v>
      </c>
      <c r="L37" s="186"/>
      <c r="M37" s="199">
        <v>-320</v>
      </c>
      <c r="N37" s="237">
        <v>510</v>
      </c>
      <c r="O37" s="246">
        <v>1400</v>
      </c>
      <c r="P37" s="255">
        <f t="shared" si="0"/>
        <v>1910</v>
      </c>
      <c r="Q37" s="291"/>
      <c r="R37" s="311"/>
      <c r="S37" s="312"/>
      <c r="T37" s="313">
        <v>320</v>
      </c>
      <c r="U37" s="311"/>
      <c r="V37" s="312"/>
      <c r="W37" s="313">
        <v>160</v>
      </c>
      <c r="X37" s="311"/>
      <c r="Y37" s="312"/>
      <c r="Z37" s="313"/>
      <c r="AA37" s="330">
        <f t="shared" si="1"/>
        <v>0</v>
      </c>
      <c r="AB37" s="331">
        <f t="shared" si="2"/>
        <v>0</v>
      </c>
      <c r="AC37" s="333">
        <f t="shared" si="3"/>
        <v>480</v>
      </c>
      <c r="AD37" s="330">
        <f t="shared" si="4"/>
        <v>0</v>
      </c>
      <c r="AE37" s="331">
        <f t="shared" si="5"/>
        <v>0</v>
      </c>
      <c r="AF37" s="332">
        <f t="shared" si="6"/>
        <v>480</v>
      </c>
      <c r="AG37" s="322"/>
      <c r="AH37" s="300"/>
      <c r="AI37" s="171"/>
    </row>
    <row r="38" spans="1:35" s="1" customFormat="1" ht="23.25" customHeight="1" thickBot="1">
      <c r="A38" s="732" t="s">
        <v>21</v>
      </c>
      <c r="B38" s="733"/>
      <c r="C38" s="75">
        <f>C5+C6+C8+C18+C21+C28+C32+C33+C34+C35+C36+C37</f>
        <v>45211712</v>
      </c>
      <c r="D38" s="46">
        <f>D5+D11+D14+D21+D23+D32+D34</f>
        <v>2482518.81</v>
      </c>
      <c r="E38" s="34">
        <v>44464811.97</v>
      </c>
      <c r="F38" s="35">
        <v>13454033.18</v>
      </c>
      <c r="G38" s="154">
        <v>15326029.059999999</v>
      </c>
      <c r="H38" s="34">
        <v>699502.9299999992</v>
      </c>
      <c r="I38" s="35">
        <v>551972.17</v>
      </c>
      <c r="J38" s="34">
        <v>2571539.85</v>
      </c>
      <c r="K38" s="128"/>
      <c r="L38" s="203"/>
      <c r="M38" s="1" t="s">
        <v>58</v>
      </c>
      <c r="N38" s="223">
        <f>N7+N10+N13+N17+N21+N28+N32+N33+N34+N35+N36+N37</f>
        <v>11484524</v>
      </c>
      <c r="O38" s="223">
        <f>O7+O10+O13+O17+O21+O28+O32+O33+O34+O35+O36+O37</f>
        <v>26521452</v>
      </c>
      <c r="P38" s="223">
        <f>P7+P10+P13+P17+P21+P28+P32+P33+P34+P35+P36+P37</f>
        <v>38005976</v>
      </c>
      <c r="Q38" s="293"/>
      <c r="R38" s="311"/>
      <c r="S38" s="312"/>
      <c r="T38" s="313"/>
      <c r="U38" s="311"/>
      <c r="V38" s="312"/>
      <c r="W38" s="313"/>
      <c r="X38" s="311"/>
      <c r="Y38" s="312"/>
      <c r="Z38" s="313"/>
      <c r="AA38" s="327"/>
      <c r="AB38" s="328"/>
      <c r="AC38" s="334"/>
      <c r="AD38" s="335"/>
      <c r="AE38" s="329"/>
      <c r="AF38" s="336"/>
      <c r="AG38" s="299"/>
      <c r="AH38" s="300"/>
      <c r="AI38" s="171"/>
    </row>
    <row r="39" spans="1:35" s="11" customFormat="1" ht="16.5" customHeight="1">
      <c r="A39" s="2" t="s">
        <v>19</v>
      </c>
      <c r="B39" s="6" t="s">
        <v>47</v>
      </c>
      <c r="C39" s="76">
        <f>C5+C6+C13+C21+C28+C32+C33</f>
        <v>40014640</v>
      </c>
      <c r="D39" s="29">
        <f>D5+D6+D13+D21+D28+D32+D33</f>
        <v>2394520.5</v>
      </c>
      <c r="E39" s="12">
        <v>40001604.02</v>
      </c>
      <c r="F39" s="29">
        <v>13116780.64</v>
      </c>
      <c r="G39" s="155">
        <v>14554508.11</v>
      </c>
      <c r="H39" s="12">
        <v>105279.35999999935</v>
      </c>
      <c r="I39" s="29">
        <v>-110594.27</v>
      </c>
      <c r="J39" s="68">
        <v>2433115.3</v>
      </c>
      <c r="K39" s="134" t="s">
        <v>56</v>
      </c>
      <c r="L39" s="202"/>
      <c r="M39" s="11" t="s">
        <v>59</v>
      </c>
      <c r="N39" s="224">
        <f>N7+N13+N21+N28+N32+N33</f>
        <v>10285100</v>
      </c>
      <c r="O39" s="224">
        <f>O7+O13+O21+O28+O32+O33</f>
        <v>19248450</v>
      </c>
      <c r="P39" s="224">
        <f>P7+P13+P21+P28+P32+P33</f>
        <v>29533550</v>
      </c>
      <c r="Q39" s="28"/>
      <c r="R39" s="315"/>
      <c r="S39" s="316"/>
      <c r="T39" s="317"/>
      <c r="U39" s="315"/>
      <c r="V39" s="316"/>
      <c r="W39" s="317"/>
      <c r="X39" s="315"/>
      <c r="Y39" s="316"/>
      <c r="Z39" s="317"/>
      <c r="AA39" s="315"/>
      <c r="AB39" s="316"/>
      <c r="AC39" s="317"/>
      <c r="AD39" s="301"/>
      <c r="AE39" s="297"/>
      <c r="AF39" s="302"/>
      <c r="AG39" s="301"/>
      <c r="AH39" s="302"/>
      <c r="AI39" s="325"/>
    </row>
    <row r="40" spans="1:35" s="11" customFormat="1" ht="17.25" customHeight="1" thickBot="1">
      <c r="A40" s="14"/>
      <c r="B40" s="15" t="s">
        <v>20</v>
      </c>
      <c r="C40" s="77">
        <f>C14+C15+C16+C34</f>
        <v>1605610</v>
      </c>
      <c r="D40" s="30">
        <f>D17+D34</f>
        <v>67754.4</v>
      </c>
      <c r="E40" s="16">
        <v>1513904.06</v>
      </c>
      <c r="F40" s="30">
        <v>337252.54</v>
      </c>
      <c r="G40" s="156">
        <v>384319.95</v>
      </c>
      <c r="H40" s="16">
        <v>627.460000000021</v>
      </c>
      <c r="I40" s="30">
        <v>20408.330000000075</v>
      </c>
      <c r="J40" s="69">
        <v>138424.55</v>
      </c>
      <c r="K40" s="134" t="s">
        <v>57</v>
      </c>
      <c r="L40" s="163">
        <f>L17+L34</f>
        <v>0</v>
      </c>
      <c r="N40" s="225">
        <f>N17+N34</f>
        <v>378930</v>
      </c>
      <c r="O40" s="225">
        <f>O17+O34</f>
        <v>1090160</v>
      </c>
      <c r="P40" s="225">
        <f>P17+P34</f>
        <v>1469090</v>
      </c>
      <c r="Q40" s="28"/>
      <c r="R40" s="318"/>
      <c r="S40" s="319"/>
      <c r="T40" s="320"/>
      <c r="U40" s="318"/>
      <c r="V40" s="319"/>
      <c r="W40" s="320"/>
      <c r="X40" s="318"/>
      <c r="Y40" s="319"/>
      <c r="Z40" s="320"/>
      <c r="AA40" s="318"/>
      <c r="AB40" s="319"/>
      <c r="AC40" s="320"/>
      <c r="AD40" s="303"/>
      <c r="AE40" s="304"/>
      <c r="AF40" s="305"/>
      <c r="AG40" s="303"/>
      <c r="AH40" s="305"/>
      <c r="AI40" s="326"/>
    </row>
    <row r="41" spans="1:29" s="11" customFormat="1" ht="14.25" customHeight="1" thickBot="1">
      <c r="A41" s="87" t="s">
        <v>19</v>
      </c>
      <c r="B41" s="88"/>
      <c r="C41" s="78"/>
      <c r="D41" s="17"/>
      <c r="E41" s="94"/>
      <c r="F41" s="94"/>
      <c r="G41" s="127"/>
      <c r="H41" s="28"/>
      <c r="I41" s="28"/>
      <c r="J41" s="94"/>
      <c r="K41" s="127"/>
      <c r="L41" s="164"/>
      <c r="N41" s="221"/>
      <c r="O41" s="221"/>
      <c r="P41" s="221"/>
      <c r="Q41" s="28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</row>
    <row r="42" spans="1:16" ht="18.75" customHeight="1" thickBot="1">
      <c r="A42" s="734" t="s">
        <v>39</v>
      </c>
      <c r="B42" s="735"/>
      <c r="C42" s="122">
        <f>C45+C36</f>
        <v>13570760</v>
      </c>
      <c r="D42" s="42"/>
      <c r="E42" s="123">
        <f>E5+E11+E14+E21+E23+E32+E34+E36</f>
        <v>13372726.139999999</v>
      </c>
      <c r="F42" s="123">
        <f>F5+F11+F14+F21+F23+F32+F34+F36</f>
        <v>13454033.18</v>
      </c>
      <c r="G42" s="157">
        <f>G5+G11+G14+G21+G23+G32+G34+G36</f>
        <v>14950393.059999999</v>
      </c>
      <c r="H42" s="123">
        <f>H5+H11+H14+H21+H23+H32+H34+H36</f>
        <v>105906.81999999937</v>
      </c>
      <c r="I42" s="123">
        <f>I5+I11+I14+I21+I23+I32+I34+I36</f>
        <v>3106</v>
      </c>
      <c r="K42" s="187"/>
      <c r="L42" s="165"/>
      <c r="M42" s="169"/>
      <c r="N42" s="238">
        <f>N45+N36</f>
        <v>3280030</v>
      </c>
      <c r="O42" s="238">
        <f>O45+O36</f>
        <v>7970700</v>
      </c>
      <c r="P42" s="238">
        <f>P45+P36</f>
        <v>11250730</v>
      </c>
    </row>
    <row r="43" spans="1:16" ht="16.5" customHeight="1" thickBot="1">
      <c r="A43" s="45" t="s">
        <v>53</v>
      </c>
      <c r="B43" s="125" t="s">
        <v>52</v>
      </c>
      <c r="C43" s="124">
        <f>C6+C12+C15+C16+C22+C24+C26+C27+C29+C33</f>
        <v>26902440</v>
      </c>
      <c r="D43" s="42"/>
      <c r="E43" s="126">
        <f>E6+E12+E15+E16+E22+E24+E25+E26+E27+E29+E33</f>
        <v>28150495.939999998</v>
      </c>
      <c r="F43" s="126">
        <f>F6+F12+F15+F16+F22+F24+F25+F26+F27+F29+F33</f>
        <v>0</v>
      </c>
      <c r="G43" s="158">
        <f>G6+G12+G15+G16+G22+G24+G25+G26+G27+G29+G33</f>
        <v>8403.31</v>
      </c>
      <c r="H43" s="126">
        <f>H6+H12+H15+H16+H22+H24+H25+H26+H27+H29+H33</f>
        <v>0</v>
      </c>
      <c r="I43" s="126">
        <f>I6+I12+I15+I16+I22+I24+I25+I26+I27+I29+I33</f>
        <v>-90185.94000000025</v>
      </c>
      <c r="K43" s="187"/>
      <c r="L43" s="165"/>
      <c r="M43" s="188"/>
      <c r="N43" s="239">
        <f>N6+N8+N12+N17+N22+N24+N25+N26+N27+N33</f>
        <v>8087920</v>
      </c>
      <c r="O43" s="239">
        <f>O6+O8+O12+O17+O22+O24+O25+O26+O27+O33</f>
        <v>18335080</v>
      </c>
      <c r="P43" s="239">
        <f>P6+P8+P12+P17+P22+P24+P25+P26+P27+P33</f>
        <v>26423000</v>
      </c>
    </row>
    <row r="44" spans="1:29" s="41" customFormat="1" ht="13.5" customHeight="1" thickBot="1">
      <c r="A44" s="40"/>
      <c r="B44" s="23"/>
      <c r="C44" s="79"/>
      <c r="D44" s="37"/>
      <c r="E44" s="67">
        <f>E42+E43</f>
        <v>41523222.08</v>
      </c>
      <c r="F44" s="67">
        <f>F42+F43</f>
        <v>13454033.18</v>
      </c>
      <c r="G44" s="159">
        <f>G42+G43</f>
        <v>14958796.37</v>
      </c>
      <c r="H44" s="67">
        <f>H42+H43</f>
        <v>105906.81999999937</v>
      </c>
      <c r="I44" s="67">
        <f>I42+I43</f>
        <v>-87079.94000000025</v>
      </c>
      <c r="J44" s="167"/>
      <c r="K44" s="129"/>
      <c r="L44" s="165"/>
      <c r="N44" s="67"/>
      <c r="O44" s="67"/>
      <c r="P44" s="67"/>
      <c r="Q44" s="287"/>
      <c r="R44" s="287"/>
      <c r="S44" s="287"/>
      <c r="T44" s="287"/>
      <c r="U44" s="287"/>
      <c r="V44" s="287"/>
      <c r="W44" s="287"/>
      <c r="X44" s="287"/>
      <c r="Y44" s="287"/>
      <c r="Z44" s="287"/>
      <c r="AA44" s="287"/>
      <c r="AB44" s="287"/>
      <c r="AC44" s="287"/>
    </row>
    <row r="45" spans="1:29" s="13" customFormat="1" ht="23.25" customHeight="1" thickBot="1">
      <c r="A45" s="745" t="s">
        <v>32</v>
      </c>
      <c r="B45" s="746"/>
      <c r="C45" s="80">
        <f>C5+C11+C14+C21+C23+C30+C31+C34</f>
        <v>13559940</v>
      </c>
      <c r="D45" s="36"/>
      <c r="E45" s="33">
        <f>E5+E11+E14+E21+E23+E30+E31+E34</f>
        <v>13365012.139999999</v>
      </c>
      <c r="F45" s="33">
        <f>F5+F11+F14+F21+F23+F30+F31+F34</f>
        <v>13454033.18</v>
      </c>
      <c r="G45" s="150">
        <f>G5+G11+G14+G21+G23+G30+G31+G34</f>
        <v>14930424.75</v>
      </c>
      <c r="H45" s="33">
        <f>H5+H11+H14+H21+H23+H30+H31+H34</f>
        <v>105906.81999999937</v>
      </c>
      <c r="I45" s="33">
        <f>I5+I11+I14+I21+I23+I30+I31+I34</f>
        <v>0</v>
      </c>
      <c r="J45" s="168"/>
      <c r="K45" s="189"/>
      <c r="L45" s="165"/>
      <c r="M45" s="190"/>
      <c r="N45" s="33">
        <f>N5+N9+N11+N21+N23+N32+N34</f>
        <v>3277520</v>
      </c>
      <c r="O45" s="33">
        <f>O5+O9+O11+O21+O23+O32+O34</f>
        <v>7964680</v>
      </c>
      <c r="P45" s="33">
        <f>P5+P9+P11+P21+P23+P32+P34</f>
        <v>11242200</v>
      </c>
      <c r="Q45" s="288"/>
      <c r="R45" s="288"/>
      <c r="S45" s="288"/>
      <c r="T45" s="288"/>
      <c r="U45" s="288"/>
      <c r="V45" s="288"/>
      <c r="W45" s="288"/>
      <c r="X45" s="288"/>
      <c r="Y45" s="288"/>
      <c r="Z45" s="288"/>
      <c r="AA45" s="288"/>
      <c r="AB45" s="288"/>
      <c r="AC45" s="288"/>
    </row>
    <row r="46" spans="1:29" s="26" customFormat="1" ht="15" customHeight="1">
      <c r="A46" s="729" t="s">
        <v>38</v>
      </c>
      <c r="B46" s="729"/>
      <c r="C46" s="729"/>
      <c r="D46" s="729"/>
      <c r="E46" s="729"/>
      <c r="F46" s="729"/>
      <c r="G46" s="729"/>
      <c r="H46" s="729"/>
      <c r="I46" s="729"/>
      <c r="J46" s="95"/>
      <c r="K46" s="130"/>
      <c r="L46" s="166"/>
      <c r="N46" s="226"/>
      <c r="O46" s="220"/>
      <c r="P46" s="220"/>
      <c r="Q46" s="96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</row>
  </sheetData>
  <sheetProtection/>
  <mergeCells count="22">
    <mergeCell ref="A36:B36"/>
    <mergeCell ref="A38:B38"/>
    <mergeCell ref="A18:B18"/>
    <mergeCell ref="A10:B10"/>
    <mergeCell ref="A19:A20"/>
    <mergeCell ref="A46:I46"/>
    <mergeCell ref="A35:B35"/>
    <mergeCell ref="A37:B37"/>
    <mergeCell ref="A28:B28"/>
    <mergeCell ref="A29:A31"/>
    <mergeCell ref="A32:B32"/>
    <mergeCell ref="A45:B45"/>
    <mergeCell ref="A42:B42"/>
    <mergeCell ref="A33:B33"/>
    <mergeCell ref="A34:B34"/>
    <mergeCell ref="A3:D3"/>
    <mergeCell ref="A21:B21"/>
    <mergeCell ref="A22:A27"/>
    <mergeCell ref="A5:A6"/>
    <mergeCell ref="A11:A12"/>
    <mergeCell ref="A14:A16"/>
    <mergeCell ref="A7:B7"/>
  </mergeCells>
  <printOptions/>
  <pageMargins left="0.23" right="0.2" top="0.24" bottom="0.23" header="0.2" footer="0.21"/>
  <pageSetup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4">
      <pane xSplit="6165" ySplit="1470" topLeftCell="D31" activePane="topRight" state="split"/>
      <selection pane="topLeft" activeCell="A4" sqref="A4"/>
      <selection pane="topRight" activeCell="N4" sqref="N4"/>
      <selection pane="bottomLeft" activeCell="C34" sqref="C34"/>
      <selection pane="bottomRight" activeCell="K46" sqref="K46"/>
    </sheetView>
  </sheetViews>
  <sheetFormatPr defaultColWidth="9.140625" defaultRowHeight="12.75"/>
  <cols>
    <col min="1" max="1" width="14.140625" style="18" customWidth="1"/>
    <col min="2" max="2" width="26.8515625" style="19" customWidth="1"/>
    <col min="3" max="3" width="13.8515625" style="74" bestFit="1" customWidth="1"/>
    <col min="4" max="4" width="13.140625" style="9" bestFit="1" customWidth="1"/>
    <col min="5" max="6" width="12.7109375" style="27" bestFit="1" customWidth="1"/>
    <col min="7" max="7" width="10.8515625" style="127" bestFit="1" customWidth="1"/>
    <col min="8" max="8" width="10.57421875" style="28" bestFit="1" customWidth="1"/>
    <col min="9" max="9" width="10.7109375" style="28" bestFit="1" customWidth="1"/>
    <col min="10" max="10" width="11.7109375" style="27" bestFit="1" customWidth="1"/>
    <col min="11" max="11" width="10.00390625" style="127" bestFit="1" customWidth="1"/>
    <col min="12" max="12" width="9.28125" style="161" bestFit="1" customWidth="1"/>
    <col min="13" max="13" width="11.57421875" style="10" customWidth="1"/>
    <col min="14" max="14" width="17.57421875" style="204" bestFit="1" customWidth="1"/>
    <col min="15" max="16384" width="9.140625" style="10" customWidth="1"/>
  </cols>
  <sheetData>
    <row r="1" spans="1:12" ht="13.5" customHeight="1">
      <c r="A1" s="43" t="s">
        <v>1</v>
      </c>
      <c r="B1" s="43"/>
      <c r="C1" s="73"/>
      <c r="D1" s="44"/>
      <c r="L1" s="160"/>
    </row>
    <row r="2" ht="15.75" customHeight="1"/>
    <row r="3" spans="1:12" ht="19.5" customHeight="1" thickBot="1">
      <c r="A3" s="722" t="s">
        <v>43</v>
      </c>
      <c r="B3" s="722"/>
      <c r="C3" s="722"/>
      <c r="D3" s="722"/>
      <c r="L3" s="162"/>
    </row>
    <row r="4" spans="1:14" s="18" customFormat="1" ht="60.75" customHeight="1" thickBot="1">
      <c r="A4" s="20" t="s">
        <v>2</v>
      </c>
      <c r="B4" s="21" t="s">
        <v>3</v>
      </c>
      <c r="C4" s="135" t="s">
        <v>44</v>
      </c>
      <c r="D4" s="45" t="s">
        <v>40</v>
      </c>
      <c r="E4" s="112" t="s">
        <v>50</v>
      </c>
      <c r="F4" s="113" t="s">
        <v>51</v>
      </c>
      <c r="G4" s="144" t="s">
        <v>60</v>
      </c>
      <c r="H4" s="142" t="s">
        <v>48</v>
      </c>
      <c r="I4" s="143" t="s">
        <v>49</v>
      </c>
      <c r="J4" s="131" t="s">
        <v>61</v>
      </c>
      <c r="K4" s="132" t="s">
        <v>54</v>
      </c>
      <c r="L4" s="170" t="s">
        <v>42</v>
      </c>
      <c r="M4" s="192" t="s">
        <v>62</v>
      </c>
      <c r="N4" s="205" t="s">
        <v>63</v>
      </c>
    </row>
    <row r="5" spans="1:14" s="1" customFormat="1" ht="18.75" customHeight="1">
      <c r="A5" s="716" t="s">
        <v>7</v>
      </c>
      <c r="B5" s="7" t="s">
        <v>4</v>
      </c>
      <c r="C5" s="81">
        <f>2843980+8400000+300000+300000</f>
        <v>11843980</v>
      </c>
      <c r="D5" s="48">
        <v>2085176</v>
      </c>
      <c r="E5" s="102">
        <v>11608682.78</v>
      </c>
      <c r="F5" s="103">
        <v>11742482.05</v>
      </c>
      <c r="G5" s="145">
        <v>13080765.34</v>
      </c>
      <c r="H5" s="136">
        <v>101497.94999999925</v>
      </c>
      <c r="I5" s="97"/>
      <c r="J5" s="89">
        <v>2218975.27</v>
      </c>
      <c r="K5" s="133">
        <v>967390.2316666666</v>
      </c>
      <c r="L5" s="172"/>
      <c r="M5" s="171"/>
      <c r="N5" s="206">
        <v>2697650</v>
      </c>
    </row>
    <row r="6" spans="1:14" s="1" customFormat="1" ht="18.75" customHeight="1">
      <c r="A6" s="717"/>
      <c r="B6" s="25" t="s">
        <v>5</v>
      </c>
      <c r="C6" s="82">
        <f>2550000+7472360-300000</f>
        <v>9722360</v>
      </c>
      <c r="D6" s="49"/>
      <c r="E6" s="104">
        <v>9768801.15</v>
      </c>
      <c r="F6" s="105">
        <v>0</v>
      </c>
      <c r="G6" s="146">
        <v>0</v>
      </c>
      <c r="H6" s="137"/>
      <c r="I6" s="98">
        <v>-46441.15000000037</v>
      </c>
      <c r="J6" s="90"/>
      <c r="K6" s="133">
        <v>814066.7625000001</v>
      </c>
      <c r="L6" s="173">
        <v>84020</v>
      </c>
      <c r="M6" s="171"/>
      <c r="N6" s="206">
        <v>2700000</v>
      </c>
    </row>
    <row r="7" spans="1:14" s="1" customFormat="1" ht="18.75" customHeight="1" thickBot="1">
      <c r="A7" s="115"/>
      <c r="B7" s="116" t="s">
        <v>33</v>
      </c>
      <c r="C7" s="117">
        <f>442840+4562790-2200000</f>
        <v>2805630</v>
      </c>
      <c r="D7" s="114"/>
      <c r="E7" s="119">
        <v>2212033.89</v>
      </c>
      <c r="F7" s="120">
        <v>0</v>
      </c>
      <c r="G7" s="147">
        <v>0</v>
      </c>
      <c r="H7" s="138">
        <v>593596.11</v>
      </c>
      <c r="I7" s="121">
        <v>593596.11</v>
      </c>
      <c r="J7" s="118"/>
      <c r="K7" s="133">
        <v>184336.1575</v>
      </c>
      <c r="L7" s="174"/>
      <c r="M7" s="193"/>
      <c r="N7" s="207">
        <v>701410</v>
      </c>
    </row>
    <row r="8" spans="1:14" s="1" customFormat="1" ht="23.25" customHeight="1" thickBot="1">
      <c r="A8" s="719" t="s">
        <v>45</v>
      </c>
      <c r="B8" s="720"/>
      <c r="C8" s="84">
        <f>C5+C6</f>
        <v>21566340</v>
      </c>
      <c r="D8" s="33"/>
      <c r="E8" s="70">
        <v>21377483.93</v>
      </c>
      <c r="F8" s="70">
        <v>11742482.05</v>
      </c>
      <c r="G8" s="148">
        <v>13080765.34</v>
      </c>
      <c r="H8" s="62">
        <v>101497.94999999925</v>
      </c>
      <c r="I8" s="65">
        <v>-46441.15000000037</v>
      </c>
      <c r="J8" s="70">
        <v>2218975.27</v>
      </c>
      <c r="K8" s="133">
        <v>1781456.9941666666</v>
      </c>
      <c r="L8" s="175">
        <v>84020</v>
      </c>
      <c r="M8" s="195">
        <v>28963.20000000298</v>
      </c>
      <c r="N8" s="208">
        <f>N5+N6</f>
        <v>5397650</v>
      </c>
    </row>
    <row r="9" spans="1:14" s="1" customFormat="1" ht="18" customHeight="1">
      <c r="A9" s="716" t="s">
        <v>6</v>
      </c>
      <c r="B9" s="7" t="s">
        <v>4</v>
      </c>
      <c r="C9" s="81">
        <f>6000+17500</f>
        <v>23500</v>
      </c>
      <c r="D9" s="51">
        <v>20243.91</v>
      </c>
      <c r="E9" s="104">
        <v>34358.02</v>
      </c>
      <c r="F9" s="105">
        <v>23242.04</v>
      </c>
      <c r="G9" s="146">
        <v>26251.96</v>
      </c>
      <c r="H9" s="137">
        <v>257.9599999999991</v>
      </c>
      <c r="I9" s="98"/>
      <c r="J9" s="90">
        <v>9127.929999999993</v>
      </c>
      <c r="K9" s="133">
        <v>2863.1683333333335</v>
      </c>
      <c r="L9" s="176"/>
      <c r="M9" s="194"/>
      <c r="N9" s="209">
        <v>4500</v>
      </c>
    </row>
    <row r="10" spans="1:14" s="1" customFormat="1" ht="18" customHeight="1" thickBot="1">
      <c r="A10" s="717"/>
      <c r="B10" s="22" t="s">
        <v>5</v>
      </c>
      <c r="C10" s="85">
        <f>2694650+6756950+537830+1774580+1865280+1000000</f>
        <v>14629290</v>
      </c>
      <c r="D10" s="52"/>
      <c r="E10" s="104">
        <v>14694891.51</v>
      </c>
      <c r="F10" s="105">
        <v>0</v>
      </c>
      <c r="G10" s="146">
        <v>0</v>
      </c>
      <c r="H10" s="137"/>
      <c r="I10" s="98">
        <v>-65601.50999999978</v>
      </c>
      <c r="J10" s="90"/>
      <c r="K10" s="133">
        <v>1224574.2925</v>
      </c>
      <c r="L10" s="177">
        <v>88070</v>
      </c>
      <c r="M10" s="193"/>
      <c r="N10" s="210">
        <v>3621090</v>
      </c>
    </row>
    <row r="11" spans="1:14" s="1" customFormat="1" ht="22.5" customHeight="1" thickBot="1">
      <c r="A11" s="3" t="s">
        <v>8</v>
      </c>
      <c r="B11" s="5" t="s">
        <v>9</v>
      </c>
      <c r="C11" s="84">
        <f>C9+C10</f>
        <v>14652790</v>
      </c>
      <c r="D11" s="33"/>
      <c r="E11" s="70">
        <v>14729249.53</v>
      </c>
      <c r="F11" s="70">
        <v>23242.04</v>
      </c>
      <c r="G11" s="148">
        <v>26251.96</v>
      </c>
      <c r="H11" s="62">
        <v>257.9599999999991</v>
      </c>
      <c r="I11" s="65">
        <v>-65601.50999999978</v>
      </c>
      <c r="J11" s="70">
        <v>9127.929999999993</v>
      </c>
      <c r="K11" s="133">
        <v>1227437.4608333332</v>
      </c>
      <c r="L11" s="175">
        <v>88070</v>
      </c>
      <c r="M11" s="195">
        <v>153413.54999999888</v>
      </c>
      <c r="N11" s="208">
        <f>N9+N10</f>
        <v>3625590</v>
      </c>
    </row>
    <row r="12" spans="1:14" s="1" customFormat="1" ht="16.5" customHeight="1">
      <c r="A12" s="718" t="s">
        <v>6</v>
      </c>
      <c r="B12" s="7" t="s">
        <v>22</v>
      </c>
      <c r="C12" s="81">
        <v>0</v>
      </c>
      <c r="D12" s="53">
        <v>0</v>
      </c>
      <c r="E12" s="104">
        <v>0</v>
      </c>
      <c r="F12" s="105">
        <v>0</v>
      </c>
      <c r="G12" s="146">
        <v>0</v>
      </c>
      <c r="H12" s="137">
        <v>0</v>
      </c>
      <c r="I12" s="98"/>
      <c r="J12" s="90">
        <v>0</v>
      </c>
      <c r="K12" s="133">
        <v>0</v>
      </c>
      <c r="L12" s="178"/>
      <c r="M12" s="194"/>
      <c r="N12" s="209"/>
    </row>
    <row r="13" spans="1:14" s="1" customFormat="1" ht="19.5" customHeight="1">
      <c r="A13" s="718"/>
      <c r="B13" s="7" t="s">
        <v>28</v>
      </c>
      <c r="C13" s="81">
        <f>63250+4610+3420</f>
        <v>71280</v>
      </c>
      <c r="D13" s="53"/>
      <c r="E13" s="104">
        <v>66900</v>
      </c>
      <c r="F13" s="105">
        <v>0</v>
      </c>
      <c r="G13" s="146">
        <v>0</v>
      </c>
      <c r="H13" s="137"/>
      <c r="I13" s="98">
        <v>4380</v>
      </c>
      <c r="J13" s="90"/>
      <c r="K13" s="133">
        <v>5575</v>
      </c>
      <c r="L13" s="178"/>
      <c r="M13" s="171"/>
      <c r="N13" s="206">
        <v>17690</v>
      </c>
    </row>
    <row r="14" spans="1:14" s="1" customFormat="1" ht="20.25" customHeight="1" thickBot="1">
      <c r="A14" s="718"/>
      <c r="B14" s="22" t="s">
        <v>29</v>
      </c>
      <c r="C14" s="83">
        <f>1134890+13860+27700+20000</f>
        <v>1196450</v>
      </c>
      <c r="D14" s="54"/>
      <c r="E14" s="104">
        <v>1180421.67</v>
      </c>
      <c r="F14" s="105">
        <v>0</v>
      </c>
      <c r="G14" s="146">
        <v>0</v>
      </c>
      <c r="H14" s="137"/>
      <c r="I14" s="98">
        <v>16028.330000000075</v>
      </c>
      <c r="J14" s="90"/>
      <c r="K14" s="133">
        <v>98368.47249999999</v>
      </c>
      <c r="L14" s="179"/>
      <c r="M14" s="171"/>
      <c r="N14" s="210">
        <v>299120</v>
      </c>
    </row>
    <row r="15" spans="1:14" s="1" customFormat="1" ht="15" customHeight="1" thickBot="1">
      <c r="A15" s="3" t="s">
        <v>8</v>
      </c>
      <c r="B15" s="5" t="s">
        <v>11</v>
      </c>
      <c r="C15" s="84">
        <f>C13+C14</f>
        <v>1267730</v>
      </c>
      <c r="D15" s="33"/>
      <c r="E15" s="70">
        <v>1247321.67</v>
      </c>
      <c r="F15" s="70">
        <v>0</v>
      </c>
      <c r="G15" s="148">
        <v>0</v>
      </c>
      <c r="H15" s="62">
        <v>0</v>
      </c>
      <c r="I15" s="65">
        <v>20408.330000000075</v>
      </c>
      <c r="J15" s="70">
        <v>0</v>
      </c>
      <c r="K15" s="133">
        <v>103943.47249999999</v>
      </c>
      <c r="L15" s="180"/>
      <c r="M15" s="171"/>
      <c r="N15" s="208">
        <f>N13+N14</f>
        <v>316810</v>
      </c>
    </row>
    <row r="16" spans="1:14" s="1" customFormat="1" ht="13.5" customHeight="1" thickBot="1">
      <c r="A16" s="723" t="s">
        <v>10</v>
      </c>
      <c r="B16" s="724"/>
      <c r="C16" s="84">
        <f>C11+C12+C15</f>
        <v>15920520</v>
      </c>
      <c r="D16" s="55"/>
      <c r="E16" s="71">
        <v>15976571.2</v>
      </c>
      <c r="F16" s="71">
        <v>23242.04</v>
      </c>
      <c r="G16" s="149">
        <v>26251.96</v>
      </c>
      <c r="H16" s="63">
        <v>257.9599999999991</v>
      </c>
      <c r="I16" s="66">
        <v>-45193.1799999997</v>
      </c>
      <c r="J16" s="71">
        <v>9127.929999999993</v>
      </c>
      <c r="K16" s="133">
        <v>1331380.9333333333</v>
      </c>
      <c r="L16" s="181">
        <v>88070</v>
      </c>
      <c r="M16" s="171"/>
      <c r="N16" s="209"/>
    </row>
    <row r="17" spans="1:14" s="1" customFormat="1" ht="18" customHeight="1">
      <c r="A17" s="716" t="s">
        <v>35</v>
      </c>
      <c r="B17" s="7" t="s">
        <v>12</v>
      </c>
      <c r="C17" s="81">
        <f>624390-400000-100000</f>
        <v>124390</v>
      </c>
      <c r="D17" s="51">
        <v>32495.08</v>
      </c>
      <c r="E17" s="104">
        <v>78310.42</v>
      </c>
      <c r="F17" s="105">
        <v>124153.7</v>
      </c>
      <c r="G17" s="146">
        <v>94484.25</v>
      </c>
      <c r="H17" s="137">
        <v>236.3000000000029</v>
      </c>
      <c r="I17" s="98"/>
      <c r="J17" s="90">
        <v>78338.36</v>
      </c>
      <c r="K17" s="133">
        <v>6525.868333333333</v>
      </c>
      <c r="L17" s="176"/>
      <c r="M17" s="171"/>
      <c r="N17" s="206">
        <v>24970</v>
      </c>
    </row>
    <row r="18" spans="1:14" s="1" customFormat="1" ht="18" customHeight="1" thickBot="1">
      <c r="A18" s="717"/>
      <c r="B18" s="22" t="s">
        <v>13</v>
      </c>
      <c r="C18" s="83">
        <f>70220+5760+8500</f>
        <v>84480</v>
      </c>
      <c r="D18" s="50">
        <v>27041.07</v>
      </c>
      <c r="E18" s="104">
        <v>97144.14</v>
      </c>
      <c r="F18" s="105">
        <v>82975.35</v>
      </c>
      <c r="G18" s="146">
        <v>77777.28</v>
      </c>
      <c r="H18" s="137">
        <v>1504.6500000000087</v>
      </c>
      <c r="I18" s="98"/>
      <c r="J18" s="90">
        <v>12872.28</v>
      </c>
      <c r="K18" s="133">
        <v>8095.345</v>
      </c>
      <c r="L18" s="182"/>
      <c r="M18" s="193"/>
      <c r="N18" s="210">
        <v>22630</v>
      </c>
    </row>
    <row r="19" spans="1:14" s="1" customFormat="1" ht="19.5" customHeight="1" thickBot="1">
      <c r="A19" s="723" t="s">
        <v>14</v>
      </c>
      <c r="B19" s="724"/>
      <c r="C19" s="84">
        <f>C17+C18</f>
        <v>208870</v>
      </c>
      <c r="D19" s="33">
        <f>D17+D18</f>
        <v>59536.15</v>
      </c>
      <c r="E19" s="70">
        <v>175454.56</v>
      </c>
      <c r="F19" s="70">
        <v>207129.05</v>
      </c>
      <c r="G19" s="148">
        <v>172261.53</v>
      </c>
      <c r="H19" s="62">
        <v>1740.9500000000116</v>
      </c>
      <c r="I19" s="65">
        <v>0</v>
      </c>
      <c r="J19" s="70">
        <v>91210.64</v>
      </c>
      <c r="K19" s="133">
        <v>14621.213333333333</v>
      </c>
      <c r="L19" s="180"/>
      <c r="M19" s="197">
        <v>-1740.9500000000116</v>
      </c>
      <c r="N19" s="208">
        <f>N17+N18</f>
        <v>47600</v>
      </c>
    </row>
    <row r="20" spans="1:14" s="1" customFormat="1" ht="18" customHeight="1">
      <c r="A20" s="716" t="s">
        <v>34</v>
      </c>
      <c r="B20" s="7" t="s">
        <v>0</v>
      </c>
      <c r="C20" s="81">
        <f>6930+19960-1800+320+3550+1650</f>
        <v>30610</v>
      </c>
      <c r="D20" s="51"/>
      <c r="E20" s="104">
        <v>28400.14</v>
      </c>
      <c r="F20" s="105">
        <v>0</v>
      </c>
      <c r="G20" s="146">
        <v>0</v>
      </c>
      <c r="H20" s="137"/>
      <c r="I20" s="98">
        <v>2209.86</v>
      </c>
      <c r="J20" s="90"/>
      <c r="K20" s="133">
        <v>2366.6783333333333</v>
      </c>
      <c r="L20" s="176"/>
      <c r="M20" s="39">
        <v>-2209.86</v>
      </c>
      <c r="N20" s="209">
        <v>7520</v>
      </c>
    </row>
    <row r="21" spans="1:14" s="1" customFormat="1" ht="19.5" customHeight="1" thickBot="1">
      <c r="A21" s="718"/>
      <c r="B21" s="24" t="s">
        <v>30</v>
      </c>
      <c r="C21" s="83">
        <f>943490+35400+72000+1000</f>
        <v>1051890</v>
      </c>
      <c r="D21" s="52">
        <v>238686.46</v>
      </c>
      <c r="E21" s="104">
        <v>1193432.27</v>
      </c>
      <c r="F21" s="105">
        <v>1050220.4</v>
      </c>
      <c r="G21" s="146">
        <v>1193446.16</v>
      </c>
      <c r="H21" s="137">
        <v>1669.6000000000931</v>
      </c>
      <c r="I21" s="98"/>
      <c r="J21" s="90">
        <v>95474.58999999985</v>
      </c>
      <c r="K21" s="133">
        <v>99452.68916666666</v>
      </c>
      <c r="L21" s="177"/>
      <c r="M21" s="38">
        <v>-1669.6000000000931</v>
      </c>
      <c r="N21" s="206">
        <v>278280</v>
      </c>
    </row>
    <row r="22" spans="1:14" s="1" customFormat="1" ht="15.75" customHeight="1" thickBot="1">
      <c r="A22" s="718"/>
      <c r="B22" s="25" t="s">
        <v>31</v>
      </c>
      <c r="C22" s="82">
        <f>56500+19760+6400-2400</f>
        <v>80260</v>
      </c>
      <c r="D22" s="49"/>
      <c r="E22" s="104">
        <v>94285.38</v>
      </c>
      <c r="F22" s="105">
        <v>0</v>
      </c>
      <c r="G22" s="146">
        <v>0</v>
      </c>
      <c r="H22" s="137"/>
      <c r="I22" s="191">
        <v>-14025.38</v>
      </c>
      <c r="J22" s="90"/>
      <c r="K22" s="133">
        <v>7857.114999999999</v>
      </c>
      <c r="L22" s="173"/>
      <c r="M22" s="196">
        <v>14025.38</v>
      </c>
      <c r="N22" s="206">
        <v>20900</v>
      </c>
    </row>
    <row r="23" spans="1:14" s="1" customFormat="1" ht="15.75" customHeight="1">
      <c r="A23" s="718"/>
      <c r="B23" s="25" t="s">
        <v>55</v>
      </c>
      <c r="C23" s="82">
        <f>199230+392040+580000-13400</f>
        <v>1157870</v>
      </c>
      <c r="D23" s="49"/>
      <c r="E23" s="104">
        <v>1157822.64</v>
      </c>
      <c r="F23" s="105"/>
      <c r="G23" s="146"/>
      <c r="H23" s="137"/>
      <c r="I23" s="98">
        <v>47.359999999869615</v>
      </c>
      <c r="J23" s="90"/>
      <c r="K23" s="133">
        <v>96485.22</v>
      </c>
      <c r="L23" s="173"/>
      <c r="M23" s="31">
        <v>-47.359999999869615</v>
      </c>
      <c r="N23" s="206">
        <v>591270</v>
      </c>
    </row>
    <row r="24" spans="1:14" s="1" customFormat="1" ht="15.75" customHeight="1" thickBot="1">
      <c r="A24" s="718"/>
      <c r="B24" s="25" t="s">
        <v>41</v>
      </c>
      <c r="C24" s="82">
        <f>1510+22950+2420-9260+5030</f>
        <v>22650</v>
      </c>
      <c r="D24" s="49"/>
      <c r="E24" s="104">
        <v>22644.9</v>
      </c>
      <c r="F24" s="105">
        <v>0</v>
      </c>
      <c r="G24" s="146">
        <v>0</v>
      </c>
      <c r="H24" s="137"/>
      <c r="I24" s="201">
        <v>5.100000000002183</v>
      </c>
      <c r="J24" s="90"/>
      <c r="K24" s="133">
        <v>1887.075</v>
      </c>
      <c r="L24" s="173"/>
      <c r="M24" s="199">
        <v>-5.100000000002183</v>
      </c>
      <c r="N24" s="206">
        <v>4840</v>
      </c>
    </row>
    <row r="25" spans="1:14" s="1" customFormat="1" ht="21.75" customHeight="1" thickBot="1">
      <c r="A25" s="717"/>
      <c r="B25" s="24" t="s">
        <v>15</v>
      </c>
      <c r="C25" s="83">
        <f>286810+34430+25500+28650-4150-5030</f>
        <v>366210</v>
      </c>
      <c r="D25" s="50"/>
      <c r="E25" s="104">
        <v>376227.37</v>
      </c>
      <c r="F25" s="105">
        <v>0</v>
      </c>
      <c r="G25" s="146">
        <v>0</v>
      </c>
      <c r="H25" s="137"/>
      <c r="I25" s="191">
        <v>-10017.37</v>
      </c>
      <c r="J25" s="90"/>
      <c r="K25" s="133">
        <v>31352.280833333334</v>
      </c>
      <c r="L25" s="182"/>
      <c r="M25" s="195">
        <v>10017.37</v>
      </c>
      <c r="N25" s="210">
        <v>93110</v>
      </c>
    </row>
    <row r="26" spans="1:14" s="1" customFormat="1" ht="19.5" customHeight="1" thickBot="1">
      <c r="A26" s="723" t="s">
        <v>16</v>
      </c>
      <c r="B26" s="724"/>
      <c r="C26" s="84">
        <f>SUM(C20:C25)</f>
        <v>2709490</v>
      </c>
      <c r="D26" s="4">
        <f>SUM(D20:D25)</f>
        <v>238686.46</v>
      </c>
      <c r="E26" s="72">
        <v>2872812.7</v>
      </c>
      <c r="F26" s="72">
        <v>1050220.4</v>
      </c>
      <c r="G26" s="150">
        <v>1193446.16</v>
      </c>
      <c r="H26" s="64">
        <v>1669.6000000000931</v>
      </c>
      <c r="I26" s="8">
        <v>-21780.430000000113</v>
      </c>
      <c r="J26" s="72">
        <v>95474.58999999985</v>
      </c>
      <c r="K26" s="133">
        <v>239401.05833333332</v>
      </c>
      <c r="L26" s="180"/>
      <c r="M26" s="198">
        <v>20110.83</v>
      </c>
      <c r="N26" s="208">
        <f>N20+N21+N22+N23+N24+N25</f>
        <v>995920</v>
      </c>
    </row>
    <row r="27" spans="1:14" s="1" customFormat="1" ht="17.25" customHeight="1">
      <c r="A27" s="716" t="s">
        <v>17</v>
      </c>
      <c r="B27" s="7" t="s">
        <v>24</v>
      </c>
      <c r="C27" s="81">
        <v>0</v>
      </c>
      <c r="D27" s="51"/>
      <c r="E27" s="104">
        <v>0</v>
      </c>
      <c r="F27" s="105">
        <v>0</v>
      </c>
      <c r="G27" s="146">
        <v>8403.31</v>
      </c>
      <c r="H27" s="137"/>
      <c r="I27" s="98">
        <v>0</v>
      </c>
      <c r="J27" s="90"/>
      <c r="K27" s="133">
        <v>0</v>
      </c>
      <c r="L27" s="176"/>
      <c r="M27" s="171"/>
      <c r="N27" s="209"/>
    </row>
    <row r="28" spans="1:14" s="1" customFormat="1" ht="17.25" customHeight="1">
      <c r="A28" s="718"/>
      <c r="B28" s="7" t="s">
        <v>23</v>
      </c>
      <c r="C28" s="81">
        <f>87350+6000</f>
        <v>93350</v>
      </c>
      <c r="D28" s="51">
        <v>10949.92</v>
      </c>
      <c r="E28" s="104">
        <v>86017.53</v>
      </c>
      <c r="F28" s="105">
        <v>93305.1</v>
      </c>
      <c r="G28" s="146">
        <v>73094.1</v>
      </c>
      <c r="H28" s="137">
        <v>44.89999999999418</v>
      </c>
      <c r="I28" s="98"/>
      <c r="J28" s="90">
        <v>18237.49</v>
      </c>
      <c r="K28" s="133">
        <v>7168.1275</v>
      </c>
      <c r="L28" s="176"/>
      <c r="M28" s="32">
        <v>-44.89999999999418</v>
      </c>
      <c r="N28" s="206">
        <v>22250</v>
      </c>
    </row>
    <row r="29" spans="1:14" s="1" customFormat="1" ht="17.25" customHeight="1" thickBot="1">
      <c r="A29" s="718"/>
      <c r="B29" s="22" t="s">
        <v>25</v>
      </c>
      <c r="C29" s="83">
        <v>470</v>
      </c>
      <c r="D29" s="52">
        <v>171.97</v>
      </c>
      <c r="E29" s="104">
        <v>484.59</v>
      </c>
      <c r="F29" s="105">
        <v>402</v>
      </c>
      <c r="G29" s="146">
        <v>285.71</v>
      </c>
      <c r="H29" s="137">
        <v>68</v>
      </c>
      <c r="I29" s="98"/>
      <c r="J29" s="90">
        <v>89.38</v>
      </c>
      <c r="K29" s="133">
        <v>40.3825</v>
      </c>
      <c r="L29" s="177"/>
      <c r="M29" s="38">
        <v>-68</v>
      </c>
      <c r="N29" s="210">
        <v>120</v>
      </c>
    </row>
    <row r="30" spans="1:14" s="1" customFormat="1" ht="19.5" customHeight="1" thickBot="1">
      <c r="A30" s="719" t="s">
        <v>18</v>
      </c>
      <c r="B30" s="720"/>
      <c r="C30" s="84">
        <f>C27+C28+C29</f>
        <v>93820</v>
      </c>
      <c r="D30" s="56">
        <f>D28+D29</f>
        <v>11121.89</v>
      </c>
      <c r="E30" s="70">
        <v>86502.12</v>
      </c>
      <c r="F30" s="70">
        <v>93707.1</v>
      </c>
      <c r="G30" s="148">
        <v>81783.12</v>
      </c>
      <c r="H30" s="62">
        <v>112.89999999999418</v>
      </c>
      <c r="I30" s="65">
        <v>0</v>
      </c>
      <c r="J30" s="70">
        <v>18326.87</v>
      </c>
      <c r="K30" s="133">
        <v>7208.51</v>
      </c>
      <c r="L30" s="183"/>
      <c r="M30" s="197">
        <v>-112.89999999999418</v>
      </c>
      <c r="N30" s="208">
        <f>N28+N29</f>
        <v>22370</v>
      </c>
    </row>
    <row r="31" spans="1:14" s="1" customFormat="1" ht="21.75" customHeight="1" thickBot="1">
      <c r="A31" s="719" t="s">
        <v>26</v>
      </c>
      <c r="B31" s="720"/>
      <c r="C31" s="86">
        <f>681270+42080+59980</f>
        <v>783330</v>
      </c>
      <c r="D31" s="57"/>
      <c r="E31" s="104">
        <v>760101.18</v>
      </c>
      <c r="F31" s="105">
        <v>0</v>
      </c>
      <c r="G31" s="146">
        <v>0</v>
      </c>
      <c r="H31" s="137"/>
      <c r="I31" s="98">
        <v>23228.81999999995</v>
      </c>
      <c r="J31" s="90"/>
      <c r="K31" s="133">
        <v>63341.76500000001</v>
      </c>
      <c r="L31" s="184"/>
      <c r="M31" s="197">
        <v>-23228.81999999995</v>
      </c>
      <c r="N31" s="211">
        <v>195970</v>
      </c>
    </row>
    <row r="32" spans="1:14" s="1" customFormat="1" ht="21" customHeight="1" thickBot="1">
      <c r="A32" s="719" t="s">
        <v>27</v>
      </c>
      <c r="B32" s="720"/>
      <c r="C32" s="86">
        <f>307880+30000</f>
        <v>337880</v>
      </c>
      <c r="D32" s="60">
        <v>67754.4</v>
      </c>
      <c r="E32" s="106">
        <v>266582.39</v>
      </c>
      <c r="F32" s="107">
        <v>337252.54</v>
      </c>
      <c r="G32" s="151">
        <v>384319.95</v>
      </c>
      <c r="H32" s="139">
        <v>627.460000000021</v>
      </c>
      <c r="I32" s="99"/>
      <c r="J32" s="91">
        <v>138424.55</v>
      </c>
      <c r="K32" s="133">
        <v>22215.19916666667</v>
      </c>
      <c r="L32" s="185"/>
      <c r="M32" s="200">
        <v>-627.460000000021</v>
      </c>
      <c r="N32" s="212">
        <v>62120</v>
      </c>
    </row>
    <row r="33" spans="1:14" s="1" customFormat="1" ht="25.5" customHeight="1" thickBot="1">
      <c r="A33" s="743" t="s">
        <v>46</v>
      </c>
      <c r="B33" s="744"/>
      <c r="C33" s="86">
        <f>116064+59024+276768+4960+48112+71424+93744+28768+73408</f>
        <v>772272</v>
      </c>
      <c r="D33" s="58"/>
      <c r="E33" s="108">
        <v>727136</v>
      </c>
      <c r="F33" s="109">
        <v>0</v>
      </c>
      <c r="G33" s="152">
        <v>372996</v>
      </c>
      <c r="H33" s="140"/>
      <c r="I33" s="100">
        <v>45136</v>
      </c>
      <c r="J33" s="92"/>
      <c r="K33" s="133">
        <v>60594.666666666664</v>
      </c>
      <c r="L33" s="186"/>
      <c r="M33" s="61">
        <v>-45136</v>
      </c>
      <c r="N33" s="213">
        <v>116064</v>
      </c>
    </row>
    <row r="34" spans="1:14" s="1" customFormat="1" ht="18.75" customHeight="1" thickBot="1">
      <c r="A34" s="723" t="s">
        <v>36</v>
      </c>
      <c r="B34" s="724"/>
      <c r="C34" s="86">
        <f>10740+35450-24590-4000-6780</f>
        <v>10820</v>
      </c>
      <c r="D34" s="58"/>
      <c r="E34" s="108">
        <v>7714</v>
      </c>
      <c r="F34" s="109">
        <v>0</v>
      </c>
      <c r="G34" s="152">
        <v>11565</v>
      </c>
      <c r="H34" s="140"/>
      <c r="I34" s="100">
        <v>3106</v>
      </c>
      <c r="J34" s="92"/>
      <c r="K34" s="133">
        <v>642.8333333333334</v>
      </c>
      <c r="L34" s="186">
        <v>3100</v>
      </c>
      <c r="M34" s="61">
        <v>-6</v>
      </c>
      <c r="N34" s="211">
        <v>2510</v>
      </c>
    </row>
    <row r="35" spans="1:14" s="1" customFormat="1" ht="19.5" customHeight="1" thickBot="1">
      <c r="A35" s="714" t="s">
        <v>37</v>
      </c>
      <c r="B35" s="738"/>
      <c r="C35" s="86">
        <f>1930+360+770-320</f>
        <v>2740</v>
      </c>
      <c r="D35" s="59"/>
      <c r="E35" s="110">
        <v>2420</v>
      </c>
      <c r="F35" s="111">
        <v>0</v>
      </c>
      <c r="G35" s="153">
        <v>2640</v>
      </c>
      <c r="H35" s="141"/>
      <c r="I35" s="101">
        <v>320</v>
      </c>
      <c r="J35" s="93"/>
      <c r="K35" s="133">
        <v>201.66666666666666</v>
      </c>
      <c r="L35" s="186"/>
      <c r="M35" s="199">
        <v>-320</v>
      </c>
      <c r="N35" s="214">
        <v>510</v>
      </c>
    </row>
    <row r="36" spans="1:14" s="1" customFormat="1" ht="23.25" customHeight="1" thickBot="1">
      <c r="A36" s="732" t="s">
        <v>21</v>
      </c>
      <c r="B36" s="733"/>
      <c r="C36" s="75">
        <f>C5+C6+C7+C16+C19+C26+C30+C31+C32+C33+C34+C35</f>
        <v>45211712</v>
      </c>
      <c r="D36" s="46">
        <f>D5+D9+D12+D19+D21+D30+D32</f>
        <v>2482518.81</v>
      </c>
      <c r="E36" s="34">
        <v>44464811.97</v>
      </c>
      <c r="F36" s="35">
        <v>13454033.18</v>
      </c>
      <c r="G36" s="154">
        <v>15326029.059999999</v>
      </c>
      <c r="H36" s="34">
        <v>699502.9299999992</v>
      </c>
      <c r="I36" s="35">
        <v>551972.17</v>
      </c>
      <c r="J36" s="34">
        <v>2571539.85</v>
      </c>
      <c r="K36" s="128"/>
      <c r="L36" s="203"/>
      <c r="M36" s="1" t="s">
        <v>58</v>
      </c>
      <c r="N36" s="215">
        <f>N8+N11+N15+N19+N26+N30+N31+N32</f>
        <v>10664030</v>
      </c>
    </row>
    <row r="37" spans="1:14" s="11" customFormat="1" ht="16.5" customHeight="1">
      <c r="A37" s="2" t="s">
        <v>19</v>
      </c>
      <c r="B37" s="6" t="s">
        <v>47</v>
      </c>
      <c r="C37" s="76">
        <f>C5+C6+C11+C19+C26+C30+C31</f>
        <v>40014640</v>
      </c>
      <c r="D37" s="29">
        <f>D5+D6+D11+D19+D26+D30+D31</f>
        <v>2394520.5</v>
      </c>
      <c r="E37" s="12">
        <v>40001604.02</v>
      </c>
      <c r="F37" s="29">
        <v>13116780.64</v>
      </c>
      <c r="G37" s="155">
        <v>14554508.11</v>
      </c>
      <c r="H37" s="12">
        <v>105279.35999999935</v>
      </c>
      <c r="I37" s="29">
        <v>-110594.27</v>
      </c>
      <c r="J37" s="68">
        <v>2433115.3</v>
      </c>
      <c r="K37" s="134" t="s">
        <v>56</v>
      </c>
      <c r="L37" s="202"/>
      <c r="M37" s="11" t="s">
        <v>59</v>
      </c>
      <c r="N37" s="216">
        <f>N8+N11+N19+N26+N30+N31</f>
        <v>10285100</v>
      </c>
    </row>
    <row r="38" spans="1:14" s="11" customFormat="1" ht="17.25" customHeight="1" thickBot="1">
      <c r="A38" s="14"/>
      <c r="B38" s="15" t="s">
        <v>20</v>
      </c>
      <c r="C38" s="77">
        <f>C12+C13+C14+C32</f>
        <v>1605610</v>
      </c>
      <c r="D38" s="30">
        <f>D15+D32</f>
        <v>67754.4</v>
      </c>
      <c r="E38" s="16">
        <v>1513904.06</v>
      </c>
      <c r="F38" s="30">
        <v>337252.54</v>
      </c>
      <c r="G38" s="156">
        <v>384319.95</v>
      </c>
      <c r="H38" s="16">
        <v>627.460000000021</v>
      </c>
      <c r="I38" s="30">
        <v>20408.330000000075</v>
      </c>
      <c r="J38" s="69">
        <v>138424.55</v>
      </c>
      <c r="K38" s="134" t="s">
        <v>57</v>
      </c>
      <c r="L38" s="163">
        <f>L15+L32</f>
        <v>0</v>
      </c>
      <c r="N38" s="217">
        <f>N15+N32</f>
        <v>378930</v>
      </c>
    </row>
    <row r="39" spans="1:14" s="11" customFormat="1" ht="14.25" customHeight="1" thickBot="1">
      <c r="A39" s="87" t="s">
        <v>19</v>
      </c>
      <c r="B39" s="88"/>
      <c r="C39" s="78"/>
      <c r="D39" s="17"/>
      <c r="E39" s="94"/>
      <c r="F39" s="94"/>
      <c r="G39" s="127"/>
      <c r="H39" s="28"/>
      <c r="I39" s="28"/>
      <c r="J39" s="94"/>
      <c r="K39" s="127"/>
      <c r="L39" s="164"/>
      <c r="N39" s="204"/>
    </row>
    <row r="40" spans="1:14" ht="18.75" customHeight="1" thickBot="1">
      <c r="A40" s="734" t="s">
        <v>39</v>
      </c>
      <c r="B40" s="735"/>
      <c r="C40" s="122">
        <f>C43+C34</f>
        <v>13570760</v>
      </c>
      <c r="D40" s="42"/>
      <c r="E40" s="123">
        <f>E5+E9+E12+E19+E21+E30+E32+E34</f>
        <v>13372726.139999999</v>
      </c>
      <c r="F40" s="123">
        <f>F5+F9+F12+F19+F21+F30+F32+F34</f>
        <v>13454033.18</v>
      </c>
      <c r="G40" s="157">
        <f>G5+G9+G12+G19+G21+G30+G32+G34</f>
        <v>14950393.059999999</v>
      </c>
      <c r="H40" s="123">
        <f>H5+H9+H12+H19+H21+H30+H32+H34</f>
        <v>105906.81999999937</v>
      </c>
      <c r="I40" s="123">
        <f>I5+I9+I12+I19+I21+I30+I32+I34</f>
        <v>3106</v>
      </c>
      <c r="K40" s="187"/>
      <c r="L40" s="165"/>
      <c r="M40" s="169"/>
      <c r="N40" s="123">
        <f>N5+N9+N12+N19+N21+N30+N32+N34</f>
        <v>3115030</v>
      </c>
    </row>
    <row r="41" spans="1:14" ht="16.5" customHeight="1" thickBot="1">
      <c r="A41" s="45" t="s">
        <v>53</v>
      </c>
      <c r="B41" s="125" t="s">
        <v>52</v>
      </c>
      <c r="C41" s="124">
        <f>C6+C10+C13+C14+C20+C22+C24+C25+C27+C31</f>
        <v>26902440</v>
      </c>
      <c r="D41" s="42"/>
      <c r="E41" s="126">
        <f>E6+E10+E13+E14+E20+E22+E23+E24+E25+E27+E31</f>
        <v>28150495.939999998</v>
      </c>
      <c r="F41" s="126">
        <f>F6+F10+F13+F14+F20+F22+F23+F24+F25+F27+F31</f>
        <v>0</v>
      </c>
      <c r="G41" s="158">
        <f>G6+G10+G13+G14+G20+G22+G23+G24+G25+G27+G31</f>
        <v>8403.31</v>
      </c>
      <c r="H41" s="126">
        <f>H6+H10+H13+H14+H20+H22+H23+H24+H25+H27+H31</f>
        <v>0</v>
      </c>
      <c r="I41" s="126">
        <f>I6+I10+I13+I14+I20+I22+I23+I24+I25+I27+I31</f>
        <v>-90185.94000000025</v>
      </c>
      <c r="K41" s="187"/>
      <c r="L41" s="165"/>
      <c r="M41" s="188"/>
      <c r="N41" s="126">
        <f>N6+N10+N13+N14+N20+N22+N23+N24+N25+N27+N31</f>
        <v>7551510</v>
      </c>
    </row>
    <row r="42" spans="1:14" s="41" customFormat="1" ht="19.5" customHeight="1" thickBot="1">
      <c r="A42" s="40"/>
      <c r="B42" s="23"/>
      <c r="C42" s="79"/>
      <c r="D42" s="37"/>
      <c r="E42" s="67">
        <f>E40+E41</f>
        <v>41523222.08</v>
      </c>
      <c r="F42" s="67">
        <f>F40+F41</f>
        <v>13454033.18</v>
      </c>
      <c r="G42" s="159">
        <f>G40+G41</f>
        <v>14958796.37</v>
      </c>
      <c r="H42" s="67">
        <f>H40+H41</f>
        <v>105906.81999999937</v>
      </c>
      <c r="I42" s="67">
        <f>I40+I41</f>
        <v>-87079.94000000025</v>
      </c>
      <c r="J42" s="167"/>
      <c r="K42" s="129"/>
      <c r="L42" s="165"/>
      <c r="N42" s="67">
        <f>N40+N41</f>
        <v>10666540</v>
      </c>
    </row>
    <row r="43" spans="1:14" s="13" customFormat="1" ht="23.25" customHeight="1" thickBot="1">
      <c r="A43" s="745" t="s">
        <v>32</v>
      </c>
      <c r="B43" s="746"/>
      <c r="C43" s="80">
        <f>C5+C9+C12+C19+C21+C28+C29+C32</f>
        <v>13559940</v>
      </c>
      <c r="D43" s="36"/>
      <c r="E43" s="33">
        <f>E5+E9+E12+E19+E21+E28+E29+E32</f>
        <v>13365012.139999999</v>
      </c>
      <c r="F43" s="33">
        <f>F5+F9+F12+F19+F21+F28+F29+F32</f>
        <v>13454033.18</v>
      </c>
      <c r="G43" s="150">
        <f>G5+G9+G12+G19+G21+G28+G29+G32</f>
        <v>14930424.75</v>
      </c>
      <c r="H43" s="33">
        <f>H5+H9+H12+H19+H21+H28+H29+H32</f>
        <v>105906.81999999937</v>
      </c>
      <c r="I43" s="33">
        <f>I5+I9+I12+I19+I21+I28+I29+I32</f>
        <v>0</v>
      </c>
      <c r="J43" s="168"/>
      <c r="K43" s="189"/>
      <c r="L43" s="165"/>
      <c r="M43" s="190"/>
      <c r="N43" s="33">
        <f>N5+N9+N12+N19+N21+N28+N29+N32</f>
        <v>3112520</v>
      </c>
    </row>
    <row r="44" spans="1:14" s="26" customFormat="1" ht="24" customHeight="1">
      <c r="A44" s="747" t="s">
        <v>38</v>
      </c>
      <c r="B44" s="747"/>
      <c r="C44" s="747"/>
      <c r="D44" s="47"/>
      <c r="E44" s="95"/>
      <c r="F44" s="95"/>
      <c r="G44" s="130"/>
      <c r="H44" s="96"/>
      <c r="I44" s="96"/>
      <c r="J44" s="95"/>
      <c r="K44" s="130"/>
      <c r="L44" s="166"/>
      <c r="N44" s="218"/>
    </row>
  </sheetData>
  <sheetProtection/>
  <mergeCells count="21">
    <mergeCell ref="A3:D3"/>
    <mergeCell ref="A19:B19"/>
    <mergeCell ref="A20:A25"/>
    <mergeCell ref="A5:A6"/>
    <mergeCell ref="A9:A10"/>
    <mergeCell ref="A12:A14"/>
    <mergeCell ref="A16:B16"/>
    <mergeCell ref="A8:B8"/>
    <mergeCell ref="A17:A18"/>
    <mergeCell ref="A32:B32"/>
    <mergeCell ref="A44:C44"/>
    <mergeCell ref="A34:B34"/>
    <mergeCell ref="A36:B36"/>
    <mergeCell ref="A43:B43"/>
    <mergeCell ref="A40:B40"/>
    <mergeCell ref="A33:B33"/>
    <mergeCell ref="A35:B35"/>
    <mergeCell ref="A26:B26"/>
    <mergeCell ref="A27:A29"/>
    <mergeCell ref="A30:B30"/>
    <mergeCell ref="A31:B31"/>
  </mergeCells>
  <printOptions/>
  <pageMargins left="0.23" right="0.2" top="0.24" bottom="0.23" header="0.2" footer="0.21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IonC</dc:creator>
  <cp:keywords/>
  <dc:description/>
  <cp:lastModifiedBy>MIchim</cp:lastModifiedBy>
  <cp:lastPrinted>2019-02-28T12:41:40Z</cp:lastPrinted>
  <dcterms:created xsi:type="dcterms:W3CDTF">2011-03-01T10:10:47Z</dcterms:created>
  <dcterms:modified xsi:type="dcterms:W3CDTF">2019-03-05T08:44:25Z</dcterms:modified>
  <cp:category/>
  <cp:version/>
  <cp:contentType/>
  <cp:contentStatus/>
</cp:coreProperties>
</file>